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Как пользоваться" sheetId="1" state="visible" r:id="rId1"/>
    <sheet xmlns:r="http://schemas.openxmlformats.org/officeDocument/2006/relationships" name="Расчёт" sheetId="2" state="visible" r:id="rId2"/>
    <sheet xmlns:r="http://schemas.openxmlformats.org/officeDocument/2006/relationships" name="Разнесение по дням" sheetId="3" state="visible" r:id="rId3"/>
    <sheet xmlns:r="http://schemas.openxmlformats.org/officeDocument/2006/relationships" name="Ставки 2026" sheetId="4" state="visible" r:id="rId4"/>
  </sheets>
  <definedNames>
    <definedName name="_xlnm.Print_Titles" localSheetId="2">'Разнесение по дням'!$4:$4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.MM.YYYY"/>
  </numFmts>
  <fonts count="6">
    <font>
      <name val="Calibri"/>
      <family val="2"/>
      <color theme="1"/>
      <sz val="11"/>
      <scheme val="minor"/>
    </font>
    <font>
      <name val="Arial"/>
      <b val="1"/>
      <color rgb="001F4E79"/>
      <sz val="12"/>
    </font>
    <font>
      <name val="Arial"/>
      <sz val="10"/>
    </font>
    <font>
      <name val="Arial"/>
      <b val="1"/>
      <color rgb="00FFFFFF"/>
      <sz val="10"/>
    </font>
    <font>
      <name val="Arial"/>
      <i val="1"/>
      <color rgb="00595959"/>
      <sz val="9"/>
    </font>
    <font>
      <name val="Arial"/>
      <b val="1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F2F7FB"/>
      </patternFill>
    </fill>
    <fill>
      <patternFill patternType="solid">
        <fgColor rgb="00FFFFCC"/>
      </patternFill>
    </fill>
    <fill>
      <patternFill patternType="solid">
        <fgColor rgb="00E8F5E9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5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vertical="top" wrapText="1"/>
    </xf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top" wrapText="1"/>
    </xf>
    <xf numFmtId="0" fontId="2" fillId="3" borderId="1" applyAlignment="1" pivotButton="0" quotePrefix="0" xfId="0">
      <alignment vertical="top" wrapText="1"/>
    </xf>
    <xf numFmtId="0" fontId="4" fillId="0" borderId="0" pivotButton="0" quotePrefix="0" xfId="0"/>
    <xf numFmtId="0" fontId="4" fillId="0" borderId="0" applyAlignment="1" pivotButton="0" quotePrefix="0" xfId="0">
      <alignment vertical="top" wrapText="1"/>
    </xf>
    <xf numFmtId="0" fontId="5" fillId="0" borderId="0" applyAlignment="1" pivotButton="0" quotePrefix="0" xfId="0">
      <alignment vertical="center" wrapText="1"/>
    </xf>
    <xf numFmtId="4" fontId="2" fillId="4" borderId="1" applyAlignment="1" pivotButton="0" quotePrefix="0" xfId="0">
      <alignment horizontal="center" vertical="center" wrapText="1"/>
    </xf>
    <xf numFmtId="0" fontId="4" fillId="0" borderId="0" applyAlignment="1" pivotButton="0" quotePrefix="0" xfId="0">
      <alignment vertical="center" wrapText="1"/>
    </xf>
    <xf numFmtId="0" fontId="2" fillId="4" borderId="1" applyAlignment="1" pivotButton="0" quotePrefix="0" xfId="0">
      <alignment vertical="center" wrapText="1"/>
    </xf>
    <xf numFmtId="165" fontId="2" fillId="4" borderId="1" applyAlignment="1" pivotButton="0" quotePrefix="0" xfId="0">
      <alignment horizontal="center" vertical="center" wrapText="1"/>
    </xf>
    <xf numFmtId="1" fontId="2" fillId="4" borderId="1" applyAlignment="1" pivotButton="0" quotePrefix="0" xfId="0">
      <alignment horizontal="center" vertical="center" wrapText="1"/>
    </xf>
    <xf numFmtId="4" fontId="2" fillId="0" borderId="1" applyAlignment="1" pivotButton="0" quotePrefix="0" xfId="0">
      <alignment horizontal="center" vertical="center"/>
    </xf>
    <xf numFmtId="9" fontId="2" fillId="0" borderId="1" applyAlignment="1" pivotButton="0" quotePrefix="0" xfId="0">
      <alignment horizontal="center" vertical="center"/>
    </xf>
    <xf numFmtId="1" fontId="2" fillId="0" borderId="1" applyAlignment="1" pivotButton="0" quotePrefix="0" xfId="0">
      <alignment horizontal="center" vertical="center"/>
    </xf>
    <xf numFmtId="4" fontId="5" fillId="5" borderId="1" applyAlignment="1" pivotButton="0" quotePrefix="0" xfId="0">
      <alignment horizontal="center" vertical="center"/>
    </xf>
    <xf numFmtId="0" fontId="5" fillId="0" borderId="0" applyAlignment="1" pivotButton="0" quotePrefix="0" xfId="0">
      <alignment vertical="top" wrapText="1"/>
    </xf>
    <xf numFmtId="0" fontId="2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horizontal="center" vertical="center"/>
    </xf>
    <xf numFmtId="165" fontId="2" fillId="0" borderId="1" applyAlignment="1" pivotButton="0" quotePrefix="0" xfId="0">
      <alignment horizontal="center" vertical="center"/>
    </xf>
    <xf numFmtId="0" fontId="5" fillId="0" borderId="0" pivotButton="0" quotePrefix="0" xfId="0"/>
    <xf numFmtId="0" fontId="5" fillId="0" borderId="0" applyAlignment="1" pivotButton="0" quotePrefix="0" xfId="0">
      <alignment horizontal="center" vertical="center"/>
    </xf>
    <xf numFmtId="0" fontId="5" fillId="0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selection activeCell="A1" sqref="A1"/>
    </sheetView>
  </sheetViews>
  <sheetFormatPr baseColWidth="8" defaultRowHeight="15"/>
  <cols>
    <col width="50" customWidth="1" min="1" max="1"/>
    <col width="22" customWidth="1" min="2" max="2"/>
    <col width="22" customWidth="1" min="3" max="3"/>
    <col width="30" customWidth="1" min="4" max="4"/>
  </cols>
  <sheetData>
    <row r="1">
      <c r="A1" s="1" t="inlineStr">
        <is>
          <t>Расчёт пособия по дням: сколько платит работодатель и сколько СФР</t>
        </is>
      </c>
    </row>
    <row r="3" ht="62" customHeight="1">
      <c r="A3" s="2" t="inlineStr">
        <is>
          <t>Что считает этот файл. Пособие по временной нетрудоспособности состоит из двух частей, и файл разносит их по дням болезни: первые 3 календарных дня при заболевании или бытовой травме самого работника оплачивает работодатель, период начиная с 4-го дня и до закрытия листка - Социальный фонд России. Правило закреплено пунктом 1 части 2 статьи 3 закона 255-ФЗ и работает только для этого основания.</t>
        </is>
      </c>
    </row>
    <row r="4" ht="62" customHeight="1">
      <c r="A4" s="2" t="inlineStr">
        <is>
          <t>Когда работодатель не платит ни дня. Уход за больным членом семьи, карантин, протезирование в стационаре, долечивание в санатории после стационара, отпуск по беременности и родам и несчастный случай на производстве оплачивает фонд с первого дня. Основание выбирается на листе "Расчёт" из выпадающего списка, и от выбора зависит, сколько дней уйдёт в колонку работодателя.</t>
        </is>
      </c>
    </row>
    <row r="5" ht="62" customHeight="1">
      <c r="A5" s="2" t="inlineStr">
        <is>
          <t>Считаются календарные дни, а не рабочие. Если работник заболел в пятницу, три оплачиваемых работодателем дня - это пятница, суббота и воскресенье, а понедельник уже относится к зоне ответственности фонда. Выходные и нерабочие праздничные дни внутри периода нетрудоспособности оплачиваются на общих основаниях.</t>
        </is>
      </c>
    </row>
    <row r="6" ht="62" customHeight="1">
      <c r="A6" s="2" t="inlineStr">
        <is>
          <t>Как пользоваться. Заполняются только жёлтые ячейки на листе "Расчёт": заработок за 2024 и 2025 годы, процент среднего заработка, основание нетрудоспособности, дата начала и общее число календарных дней по листку. Остальные ячейки содержат формулы и пересчитываются сами. Лист "Разнесение по дням" показывает каждый день отдельной строкой с указанием плательщика.</t>
        </is>
      </c>
    </row>
    <row r="7" ht="62" customHeight="1">
      <c r="A7" s="2" t="inlineStr">
        <is>
          <t>Границы расчёта. Средний дневной заработок для больничного в 2026 году считается по заработку за 2024 и 2025 годы, делённому на 730. Сверху действуют предельные базы по взносам: (2 225 000 + 2 759 000) / 730 = 6 827,40 рубля в день. Снизу - МРОТ: 27 093 x 24 / 730 = 890,73 рубля в день. Если фактический средний дневной заработок ниже 890,73 рубля, расчёт ведётся от минимума. Обе границы вынесены на лист "Ставки 2026".</t>
        </is>
      </c>
    </row>
    <row r="8" ht="62" customHeight="1">
      <c r="A8" s="2" t="inlineStr">
        <is>
          <t>Процент по страховому стажу. До 5 лет - 60 процентов, от 5 до 8 лет - 80 процентов, от 8 лет - 100 процентов. Для больничного по уходу за ребёнком до 8 лет процент не применяется вовсе: пособие считается в размере 100 процентов среднего заработка независимо от стажа. Процент применяется к обеим частям пособия одинаково, поэтому ошибка в стаже уменьшает и три дня за счёт работодателя, и выплату фонда.</t>
        </is>
      </c>
    </row>
    <row r="9" ht="62" customHeight="1">
      <c r="A9" s="2" t="inlineStr">
        <is>
          <t>Случай по 125-ФЗ считается не здесь. Пособие в связи с несчастным случаем на производстве или профессиональным заболеванием назначается по закону 125-ФЗ: за весь период, в размере 100 процентов среднего заработка, без привязки к стажу и с собственным верхним пределом - за полный календарный месяц не более четырёхкратного максимального размера ежемесячной страховой выплаты, то есть 503 156,64 рубля с 1 февраля 2026 года. Потолок 6 827,40 рубля в день к такому случаю не применяется, и файл выводит об этом предупреждение.</t>
        </is>
      </c>
    </row>
    <row r="10" ht="62" customHeight="1">
      <c r="A10" s="2" t="inlineStr">
        <is>
          <t>Стаж менее 6 месяцев. Пособие за полный календарный месяц не может превышать МРОТ. Файл этот предел не считает: проверьте сумму вручную по числу дней в месяце болезни.</t>
        </is>
      </c>
    </row>
    <row r="11" ht="62" customHeight="1">
      <c r="A11" s="2" t="inlineStr">
        <is>
          <t>НДФЛ и взносы. С пособия по временной нетрудоспособности удерживается НДФЛ, причём каждая сторона удерживает его со своей части: работодатель - со своих трёх дней, фонд - со своей. Страховые взносы на пособие не начисляются. Пособие по беременности и родам НДФЛ не облагается. Суммы в файле приведены до удержания НДФЛ.</t>
        </is>
      </c>
    </row>
    <row r="12" ht="62" customHeight="1">
      <c r="A12" s="2" t="inlineStr">
        <is>
          <t>Контрольный пример. Лист "Расчёт" заполнен предельными базами за 2024 и 2025 годы при стаже от 8 лет. Средний дневной заработок в этом случае равен максимальному - 6 827,40 рубля, а три дня за счёт работодателя дают 20 482,20 рубля. Это верхняя граница расходов компании на одного работника в 2026 году. Минимальная сумма за те же три дня при полном стаже - 2 672,19 рубля.</t>
        </is>
      </c>
    </row>
    <row r="14">
      <c r="A14" s="1" t="inlineStr">
        <is>
          <t>Кто платит по основанию нетрудоспособности</t>
        </is>
      </c>
    </row>
    <row r="15" ht="32" customHeight="1">
      <c r="A15" s="3" t="inlineStr">
        <is>
          <t>Основание нетрудоспособности</t>
        </is>
      </c>
      <c r="B15" s="3" t="inlineStr">
        <is>
          <t>Первые 3 дня</t>
        </is>
      </c>
      <c r="C15" s="3" t="inlineStr">
        <is>
          <t>С 4-го дня</t>
        </is>
      </c>
      <c r="D15" s="3" t="inlineStr">
        <is>
          <t>Норма</t>
        </is>
      </c>
    </row>
    <row r="16">
      <c r="A16" s="4" t="inlineStr">
        <is>
          <t>Заболевание работника</t>
        </is>
      </c>
      <c r="B16" s="4" t="inlineStr">
        <is>
          <t>работодатель</t>
        </is>
      </c>
      <c r="C16" s="4" t="inlineStr">
        <is>
          <t>СФР</t>
        </is>
      </c>
      <c r="D16" s="4" t="inlineStr">
        <is>
          <t>п. 1 ч. 2 ст. 3 255-ФЗ</t>
        </is>
      </c>
    </row>
    <row r="17">
      <c r="A17" s="5" t="inlineStr">
        <is>
          <t>Бытовая травма работника</t>
        </is>
      </c>
      <c r="B17" s="5" t="inlineStr">
        <is>
          <t>работодатель</t>
        </is>
      </c>
      <c r="C17" s="5" t="inlineStr">
        <is>
          <t>СФР</t>
        </is>
      </c>
      <c r="D17" s="5" t="inlineStr">
        <is>
          <t>п. 1 ч. 2 ст. 3 255-ФЗ</t>
        </is>
      </c>
    </row>
    <row r="18">
      <c r="A18" s="4" t="inlineStr">
        <is>
          <t>Несчастный случай на производстве, профзаболевание</t>
        </is>
      </c>
      <c r="B18" s="4" t="inlineStr">
        <is>
          <t>СФР</t>
        </is>
      </c>
      <c r="C18" s="4" t="inlineStr">
        <is>
          <t>СФР</t>
        </is>
      </c>
      <c r="D18" s="4" t="inlineStr">
        <is>
          <t>125-ФЗ</t>
        </is>
      </c>
    </row>
    <row r="19">
      <c r="A19" s="5" t="inlineStr">
        <is>
          <t>Уход за больным членом семьи</t>
        </is>
      </c>
      <c r="B19" s="5" t="inlineStr">
        <is>
          <t>СФР</t>
        </is>
      </c>
      <c r="C19" s="5" t="inlineStr">
        <is>
          <t>СФР</t>
        </is>
      </c>
      <c r="D19" s="5" t="inlineStr">
        <is>
          <t>п. 2 ч. 2 ст. 3 255-ФЗ</t>
        </is>
      </c>
    </row>
    <row r="20">
      <c r="A20" s="4" t="inlineStr">
        <is>
          <t>Карантин</t>
        </is>
      </c>
      <c r="B20" s="4" t="inlineStr">
        <is>
          <t>СФР</t>
        </is>
      </c>
      <c r="C20" s="4" t="inlineStr">
        <is>
          <t>СФР</t>
        </is>
      </c>
      <c r="D20" s="4" t="inlineStr">
        <is>
          <t>п. 2 ч. 2 ст. 3 255-ФЗ</t>
        </is>
      </c>
    </row>
    <row r="21">
      <c r="A21" s="5" t="inlineStr">
        <is>
          <t>Протезирование в стационаре</t>
        </is>
      </c>
      <c r="B21" s="5" t="inlineStr">
        <is>
          <t>СФР</t>
        </is>
      </c>
      <c r="C21" s="5" t="inlineStr">
        <is>
          <t>СФР</t>
        </is>
      </c>
      <c r="D21" s="5" t="inlineStr">
        <is>
          <t>п. 2 ч. 2 ст. 3 255-ФЗ</t>
        </is>
      </c>
    </row>
    <row r="22">
      <c r="A22" s="4" t="inlineStr">
        <is>
          <t>Долечивание в санатории после стационара</t>
        </is>
      </c>
      <c r="B22" s="4" t="inlineStr">
        <is>
          <t>СФР</t>
        </is>
      </c>
      <c r="C22" s="4" t="inlineStr">
        <is>
          <t>СФР</t>
        </is>
      </c>
      <c r="D22" s="4" t="inlineStr">
        <is>
          <t>п. 2 ч. 2 ст. 3 255-ФЗ</t>
        </is>
      </c>
    </row>
    <row r="24">
      <c r="A24" s="6" t="inlineStr">
        <is>
          <t>Данные актуальны на 24 сентября 2026 года. Материал подготовлен сервисом КЭДО Добыто.</t>
        </is>
      </c>
    </row>
    <row r="25" ht="30" customHeight="1">
      <c r="A25" s="7" t="inlineStr">
        <is>
          <t>Расходы компании возникают в одном сценарии из семи. По остальным основаниям задача работодателя сводится к передаче сведений в фонд, а деньги работник получает напрямую от Социального фонда России.</t>
        </is>
      </c>
    </row>
  </sheetData>
  <mergeCells count="11">
    <mergeCell ref="A10:C10"/>
    <mergeCell ref="A11:C11"/>
    <mergeCell ref="A5:C5"/>
    <mergeCell ref="A8:C8"/>
    <mergeCell ref="A6:C6"/>
    <mergeCell ref="A9:C9"/>
    <mergeCell ref="A25:D25"/>
    <mergeCell ref="A3:C3"/>
    <mergeCell ref="A7:C7"/>
    <mergeCell ref="A12:C12"/>
    <mergeCell ref="A4:C4"/>
  </mergeCells>
  <pageMargins left="0.4" right="0.4" top="0.5" bottom="0.6" header="0.5" footer="0.5"/>
  <pageSetup orientation="portrait" paperSize="9" fitToHeight="0" fitToWidth="1"/>
  <headerFooter>
    <oddHeader/>
    <oddFooter>&amp;C&amp;"Arial"&amp;8 Данные актуальны на 24 сентября 2026 года. Материал подготовлен сервисом КЭДО Добыто.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54"/>
  <sheetViews>
    <sheetView workbookViewId="0">
      <selection activeCell="A1" sqref="A1"/>
    </sheetView>
  </sheetViews>
  <sheetFormatPr baseColWidth="8" defaultRowHeight="15"/>
  <cols>
    <col width="56" customWidth="1" min="1" max="1"/>
    <col width="22" customWidth="1" min="2" max="2"/>
    <col width="56" customWidth="1" min="3" max="3"/>
  </cols>
  <sheetData>
    <row r="1">
      <c r="A1" s="1" t="inlineStr">
        <is>
          <t>Расчёт пособия: исходные данные и результат</t>
        </is>
      </c>
    </row>
    <row r="2" ht="28" customHeight="1">
      <c r="A2" s="7" t="inlineStr">
        <is>
          <t>Заполняются только жёлтые ячейки. Зелёные ячейки - результат, остальные содержат формулы. Суммы приведены до удержания НДФЛ.</t>
        </is>
      </c>
    </row>
    <row r="4">
      <c r="A4" s="1" t="inlineStr">
        <is>
          <t>Исходные данные</t>
        </is>
      </c>
    </row>
    <row r="5" ht="26" customHeight="1">
      <c r="A5" s="8" t="inlineStr">
        <is>
          <t>Заработок за 2024 год, на который начислены взносы, руб.</t>
        </is>
      </c>
      <c r="B5" s="9" t="n">
        <v>2225000</v>
      </c>
      <c r="C5" s="10" t="inlineStr">
        <is>
          <t>Фактическая сумма за год. К расчёту принимается не более предельной базы</t>
        </is>
      </c>
    </row>
    <row r="6" ht="26" customHeight="1">
      <c r="A6" s="8" t="inlineStr">
        <is>
          <t>Заработок за 2025 год, на который начислены взносы, руб.</t>
        </is>
      </c>
      <c r="B6" s="9" t="n">
        <v>2759000</v>
      </c>
      <c r="C6" s="10" t="inlineStr">
        <is>
          <t>Фактическая сумма за год. К расчёту принимается не более предельной базы</t>
        </is>
      </c>
    </row>
    <row r="7" ht="34" customHeight="1">
      <c r="A7" s="8" t="inlineStr">
        <is>
          <t>Процент среднего заработка</t>
        </is>
      </c>
      <c r="B7" s="11" t="inlineStr">
        <is>
          <t>Стаж 8 лет и более - 100%</t>
        </is>
      </c>
      <c r="C7" s="10" t="inlineStr">
        <is>
          <t>Выбор из списка, справочник ниже</t>
        </is>
      </c>
    </row>
    <row r="8" ht="34" customHeight="1">
      <c r="A8" s="8" t="inlineStr">
        <is>
          <t>Основание нетрудоспособности</t>
        </is>
      </c>
      <c r="B8" s="11" t="inlineStr">
        <is>
          <t>Заболевание работника</t>
        </is>
      </c>
      <c r="C8" s="10" t="inlineStr">
        <is>
          <t>Выбор из списка. От основания зависит, платит ли работодатель первые 3 дня</t>
        </is>
      </c>
    </row>
    <row r="9" ht="26" customHeight="1">
      <c r="A9" s="8" t="inlineStr">
        <is>
          <t>Дата начала нетрудоспособности</t>
        </is>
      </c>
      <c r="B9" s="12" t="n">
        <v>46034</v>
      </c>
      <c r="C9" s="10" t="inlineStr">
        <is>
          <t>Формат ДД.ММ.ГГГГ</t>
        </is>
      </c>
    </row>
    <row r="10" ht="26" customHeight="1">
      <c r="A10" s="8" t="inlineStr">
        <is>
          <t>Всего календарных дней по закрытому листку</t>
        </is>
      </c>
      <c r="B10" s="13" t="n">
        <v>10</v>
      </c>
      <c r="C10" s="10" t="inlineStr">
        <is>
          <t>Календарные дни, включая выходные и нерабочие праздничные</t>
        </is>
      </c>
    </row>
    <row r="12">
      <c r="A12" s="1" t="inlineStr">
        <is>
          <t>Расчёт</t>
        </is>
      </c>
    </row>
    <row r="13" ht="26" customHeight="1">
      <c r="A13" s="8" t="inlineStr">
        <is>
          <t>Заработок 2024 года, принимаемый к расчёту, руб.</t>
        </is>
      </c>
      <c r="B13" s="14">
        <f>MIN(B5,'Ставки 2026'!$B$5)</f>
        <v/>
      </c>
      <c r="C13" s="10" t="inlineStr">
        <is>
          <t>Не более предельной базы по взносам за 2024 год - 2 225 000 руб.</t>
        </is>
      </c>
    </row>
    <row r="14" ht="26" customHeight="1">
      <c r="A14" s="8" t="inlineStr">
        <is>
          <t>Заработок 2025 года, принимаемый к расчёту, руб.</t>
        </is>
      </c>
      <c r="B14" s="14">
        <f>MIN(B6,'Ставки 2026'!$B$6)</f>
        <v/>
      </c>
      <c r="C14" s="10" t="inlineStr">
        <is>
          <t>Не более предельной базы по взносам за 2025 год - 2 759 000 руб.</t>
        </is>
      </c>
    </row>
    <row r="15" ht="26" customHeight="1">
      <c r="A15" s="8" t="inlineStr">
        <is>
          <t>Средний дневной заработок фактический, руб.</t>
        </is>
      </c>
      <c r="B15" s="14">
        <f>(B13+B14)/'Ставки 2026'!$B$7</f>
        <v/>
      </c>
      <c r="C15" s="10" t="inlineStr">
        <is>
          <t>Сумма принимаемого заработка за два года, делённая на 730</t>
        </is>
      </c>
    </row>
    <row r="16" ht="26" customHeight="1">
      <c r="A16" s="8" t="inlineStr">
        <is>
          <t>Средний дневной заработок для расчёта, руб.</t>
        </is>
      </c>
      <c r="B16" s="14">
        <f>MIN(MAX(B15,'Ставки 2026'!$B$9),'Ставки 2026'!$B$8)</f>
        <v/>
      </c>
      <c r="C16" s="10" t="inlineStr">
        <is>
          <t>Фактический, ограниченный сверху 6 827,40 руб. и снизу 890,73 руб.</t>
        </is>
      </c>
    </row>
    <row r="17" ht="26" customHeight="1">
      <c r="A17" s="8" t="inlineStr">
        <is>
          <t>Процент среднего заработка, доля</t>
        </is>
      </c>
      <c r="B17" s="15">
        <f>IFERROR(VLOOKUP(B7,$A$35:$B$39,2,FALSE),"")</f>
        <v/>
      </c>
      <c r="C17" s="10" t="inlineStr">
        <is>
          <t>Подставляется из справочника по выбранному значению</t>
        </is>
      </c>
    </row>
    <row r="18" ht="26" customHeight="1">
      <c r="A18" s="8" t="inlineStr">
        <is>
          <t>Размер пособия за один календарный день, руб.</t>
        </is>
      </c>
      <c r="B18" s="14">
        <f>IF(B17="","",ROUND(B16*B17,2))</f>
        <v/>
      </c>
      <c r="C18" s="10" t="inlineStr">
        <is>
          <t>Средний дневной заработок для расчёта, умноженный на процент</t>
        </is>
      </c>
    </row>
    <row r="19" ht="26" customHeight="1">
      <c r="A19" s="8" t="inlineStr">
        <is>
          <t>Дней за счёт работодателя</t>
        </is>
      </c>
      <c r="B19" s="16">
        <f>IFERROR(MIN(VLOOKUP(B8,$A$42:$B$50,2,FALSE),B10),"")</f>
        <v/>
      </c>
      <c r="C19" s="10" t="inlineStr">
        <is>
          <t>Не более 3 календарных дней и не более общего числа дней по листку</t>
        </is>
      </c>
    </row>
    <row r="20" ht="26" customHeight="1">
      <c r="A20" s="8" t="inlineStr">
        <is>
          <t>Дней за счёт Социального фонда России</t>
        </is>
      </c>
      <c r="B20" s="16">
        <f>IF(B19="","",B10-B19)</f>
        <v/>
      </c>
      <c r="C20" s="10" t="inlineStr">
        <is>
          <t>Остаток периода начиная с 4-го дня либо весь период целиком</t>
        </is>
      </c>
    </row>
    <row r="21" ht="26" customHeight="1">
      <c r="A21" s="8" t="inlineStr">
        <is>
          <t>Сумма за счёт работодателя, руб.</t>
        </is>
      </c>
      <c r="B21" s="17">
        <f>IF(B18="","",ROUND(B18*B19,2))</f>
        <v/>
      </c>
      <c r="C21" s="10" t="inlineStr">
        <is>
          <t>Начислено до удержания НДФЛ, выплачивается в ближайший день выплаты зарплаты</t>
        </is>
      </c>
    </row>
    <row r="22" ht="26" customHeight="1">
      <c r="A22" s="8" t="inlineStr">
        <is>
          <t>Сумма за счёт Социального фонда России, руб.</t>
        </is>
      </c>
      <c r="B22" s="17">
        <f>IF(B18="","",ROUND(B18*B20,2))</f>
        <v/>
      </c>
      <c r="C22" s="10" t="inlineStr">
        <is>
          <t>Начислено до удержания НДФЛ, фонд перечисляет отдельным платежом</t>
        </is>
      </c>
    </row>
    <row r="23" ht="26" customHeight="1">
      <c r="A23" s="8" t="inlineStr">
        <is>
          <t>Итого начислено по листку, руб.</t>
        </is>
      </c>
      <c r="B23" s="17">
        <f>IF(B21="","",B21+B22)</f>
        <v/>
      </c>
      <c r="C23" s="10" t="inlineStr">
        <is>
          <t>Сумма обеих частей до НДФЛ</t>
        </is>
      </c>
    </row>
    <row r="25" ht="58" customHeight="1">
      <c r="A25" s="18">
        <f>IF(OR(B8="Несчастный случай на производстве, профзаболевание",B7="Несчастный случай на производстве или профзаболевание - 100% по 125-ФЗ"),"Случай по 125-ФЗ: пособие назначается за весь период в размере 100% среднего заработка без привязки к стажу, верхний предел свой - за полный календарный месяц не более 503 156,64 руб. Потолок 6 827,40 руб. в день здесь не применяется, результат выше носит справочный характер.","")</f>
        <v/>
      </c>
    </row>
    <row r="28">
      <c r="A28" s="1" t="inlineStr">
        <is>
          <t>Контрольный пример на цифрах 2026 года</t>
        </is>
      </c>
    </row>
    <row r="29" ht="32" customHeight="1">
      <c r="A29" s="3" t="inlineStr">
        <is>
          <t>Показатель</t>
        </is>
      </c>
      <c r="B29" s="3" t="inlineStr">
        <is>
          <t>Значение</t>
        </is>
      </c>
      <c r="C29" s="3" t="inlineStr">
        <is>
          <t>Как получено</t>
        </is>
      </c>
    </row>
    <row r="30">
      <c r="A30" s="4" t="inlineStr">
        <is>
          <t>Максимальный средний дневной заработок</t>
        </is>
      </c>
      <c r="B30" s="4" t="inlineStr">
        <is>
          <t>6 827,40 руб.</t>
        </is>
      </c>
      <c r="C30" s="4" t="inlineStr">
        <is>
          <t>(2 225 000 + 2 759 000) / 730</t>
        </is>
      </c>
    </row>
    <row r="31">
      <c r="A31" s="5" t="inlineStr">
        <is>
          <t>Максимум расходов работодателя за 3 дня при стаже от 8 лет</t>
        </is>
      </c>
      <c r="B31" s="5" t="inlineStr">
        <is>
          <t>20 482,20 руб.</t>
        </is>
      </c>
      <c r="C31" s="5" t="inlineStr">
        <is>
          <t>6 827,40 x 3</t>
        </is>
      </c>
    </row>
    <row r="32">
      <c r="A32" s="4" t="inlineStr">
        <is>
          <t>Минимум за те же 3 дня при полном стаже</t>
        </is>
      </c>
      <c r="B32" s="4" t="inlineStr">
        <is>
          <t>2 672,19 руб.</t>
        </is>
      </c>
      <c r="C32" s="4" t="inlineStr">
        <is>
          <t>890,73 x 3, где 890,73 = 27 093 x 24 / 730</t>
        </is>
      </c>
    </row>
    <row r="34">
      <c r="A34" s="1" t="inlineStr">
        <is>
          <t>Справочник: процент среднего заработка</t>
        </is>
      </c>
    </row>
    <row r="35" ht="22" customHeight="1">
      <c r="A35" s="19" t="inlineStr">
        <is>
          <t>Стаж 8 лет и более - 100%</t>
        </is>
      </c>
      <c r="B35" s="15" t="n">
        <v>1</v>
      </c>
    </row>
    <row r="36" ht="22" customHeight="1">
      <c r="A36" s="19" t="inlineStr">
        <is>
          <t>Стаж от 5 до 8 лет - 80%</t>
        </is>
      </c>
      <c r="B36" s="15" t="n">
        <v>0.8</v>
      </c>
    </row>
    <row r="37" ht="22" customHeight="1">
      <c r="A37" s="19" t="inlineStr">
        <is>
          <t>Стаж менее 5 лет - 60%</t>
        </is>
      </c>
      <c r="B37" s="15" t="n">
        <v>0.6</v>
      </c>
    </row>
    <row r="38" ht="22" customHeight="1">
      <c r="A38" s="19" t="inlineStr">
        <is>
          <t>Уход за ребёнком до 8 лет - 100% независимо от стажа</t>
        </is>
      </c>
      <c r="B38" s="15" t="n">
        <v>1</v>
      </c>
    </row>
    <row r="39" ht="22" customHeight="1">
      <c r="A39" s="19" t="inlineStr">
        <is>
          <t>Несчастный случай на производстве или профзаболевание - 100% по 125-ФЗ</t>
        </is>
      </c>
      <c r="B39" s="15" t="n">
        <v>1</v>
      </c>
    </row>
    <row r="41">
      <c r="A41" s="1" t="inlineStr">
        <is>
          <t>Справочник: дней за счёт работодателя по основанию</t>
        </is>
      </c>
    </row>
    <row r="42" ht="22" customHeight="1">
      <c r="A42" s="19" t="inlineStr">
        <is>
          <t>Заболевание работника</t>
        </is>
      </c>
      <c r="B42" s="20" t="n">
        <v>3</v>
      </c>
    </row>
    <row r="43" ht="22" customHeight="1">
      <c r="A43" s="19" t="inlineStr">
        <is>
          <t>Бытовая травма работника</t>
        </is>
      </c>
      <c r="B43" s="20" t="n">
        <v>3</v>
      </c>
    </row>
    <row r="44" ht="22" customHeight="1">
      <c r="A44" s="19" t="inlineStr">
        <is>
          <t>Социально значимое заболевание</t>
        </is>
      </c>
      <c r="B44" s="20" t="n">
        <v>3</v>
      </c>
    </row>
    <row r="45" ht="22" customHeight="1">
      <c r="A45" s="19" t="inlineStr">
        <is>
          <t>Несчастный случай на производстве, профзаболевание</t>
        </is>
      </c>
      <c r="B45" s="20" t="n">
        <v>0</v>
      </c>
    </row>
    <row r="46" ht="22" customHeight="1">
      <c r="A46" s="19" t="inlineStr">
        <is>
          <t>Уход за больным членом семьи</t>
        </is>
      </c>
      <c r="B46" s="20" t="n">
        <v>0</v>
      </c>
    </row>
    <row r="47" ht="22" customHeight="1">
      <c r="A47" s="19" t="inlineStr">
        <is>
          <t>Карантин</t>
        </is>
      </c>
      <c r="B47" s="20" t="n">
        <v>0</v>
      </c>
    </row>
    <row r="48" ht="22" customHeight="1">
      <c r="A48" s="19" t="inlineStr">
        <is>
          <t>Протезирование в стационаре</t>
        </is>
      </c>
      <c r="B48" s="20" t="n">
        <v>0</v>
      </c>
    </row>
    <row r="49" ht="22" customHeight="1">
      <c r="A49" s="19" t="inlineStr">
        <is>
          <t>Долечивание в санатории после стационара</t>
        </is>
      </c>
      <c r="B49" s="20" t="n">
        <v>0</v>
      </c>
    </row>
    <row r="50" ht="22" customHeight="1">
      <c r="A50" s="19" t="inlineStr">
        <is>
          <t>Отпуск по беременности и родам</t>
        </is>
      </c>
      <c r="B50" s="20" t="n">
        <v>0</v>
      </c>
    </row>
    <row r="52">
      <c r="A52" s="6" t="inlineStr">
        <is>
          <t>Данные актуальны на 24 сентября 2026 года. Материал подготовлен сервисом КЭДО Добыто.</t>
        </is>
      </c>
    </row>
    <row r="53" ht="30" customHeight="1">
      <c r="A53" s="7" t="inlineStr">
        <is>
          <t>Процент применяется к обеим частям пособия одинаково, поэтому ошибка в страховом стаже уменьшает и три дня за счёт работодателя, и выплату фонда.</t>
        </is>
      </c>
    </row>
    <row r="54" ht="30" customHeight="1">
      <c r="A54" s="7" t="inlineStr">
        <is>
          <t>При страховом стаже менее 6 месяцев пособие за полный календарный месяц не может превышать МРОТ - 27 093 рубля в 2026 году. Этот предел файл не считает.</t>
        </is>
      </c>
    </row>
  </sheetData>
  <mergeCells count="4">
    <mergeCell ref="A25:C25"/>
    <mergeCell ref="A54:C54"/>
    <mergeCell ref="A2:C2"/>
    <mergeCell ref="A53:C53"/>
  </mergeCells>
  <dataValidations count="2">
    <dataValidation sqref="B7" showDropDown="0" showInputMessage="0" showErrorMessage="0" allowBlank="1" type="list">
      <formula1>=$A$35:$A$39</formula1>
    </dataValidation>
    <dataValidation sqref="B8" showDropDown="0" showInputMessage="0" showErrorMessage="0" allowBlank="1" type="list">
      <formula1>=$A$42:$A$50</formula1>
    </dataValidation>
  </dataValidations>
  <pageMargins left="0.4" right="0.4" top="0.5" bottom="0.6" header="0.5" footer="0.5"/>
  <pageSetup orientation="portrait" paperSize="9" fitToHeight="0" fitToWidth="1"/>
  <headerFooter>
    <oddHeader/>
    <oddFooter>&amp;C&amp;"Arial"&amp;8 Данные актуальны на 24 сентября 2026 года. Материал подготовлен сервисом КЭДО Добыто.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0" customWidth="1" min="1" max="1"/>
    <col width="16" customWidth="1" min="2" max="2"/>
    <col width="30" customWidth="1" min="3" max="3"/>
    <col width="20" customWidth="1" min="4" max="4"/>
    <col width="56" customWidth="1" min="5" max="5"/>
  </cols>
  <sheetData>
    <row r="1">
      <c r="A1" s="1" t="inlineStr">
        <is>
          <t>Разнесение пособия по календарным дням болезни</t>
        </is>
      </c>
    </row>
    <row r="2" ht="30" customHeight="1">
      <c r="A2" s="7" t="inlineStr">
        <is>
          <t>Строки заполняются автоматически по данным листа "Расчёт". Дни сверх числа дней по листку остаются пустыми. Считаются календарные дни, включая выходные и нерабочие праздничные.</t>
        </is>
      </c>
    </row>
    <row r="4" ht="32" customHeight="1">
      <c r="A4" s="3" t="inlineStr">
        <is>
          <t>День</t>
        </is>
      </c>
      <c r="B4" s="3" t="inlineStr">
        <is>
          <t>Дата</t>
        </is>
      </c>
      <c r="C4" s="3" t="inlineStr">
        <is>
          <t>Кто платит</t>
        </is>
      </c>
      <c r="D4" s="3" t="inlineStr">
        <is>
          <t>Сумма за день, руб.</t>
        </is>
      </c>
      <c r="E4" s="3" t="inlineStr">
        <is>
          <t>Комментарий</t>
        </is>
      </c>
    </row>
    <row r="5">
      <c r="A5" s="20" t="n">
        <v>1</v>
      </c>
      <c r="B5" s="21">
        <f>IF(1&gt;Расчёт!$B$10,"",Расчёт!$B$9+0)</f>
        <v/>
      </c>
      <c r="C5" s="20">
        <f>IF(1&gt;Расчёт!$B$10,"",IF(1&lt;=Расчёт!$B$19,"Работодатель","СФР"))</f>
        <v/>
      </c>
      <c r="D5" s="14">
        <f>IF(1&gt;Расчёт!$B$10,"",Расчёт!$B$18)</f>
        <v/>
      </c>
      <c r="E5" s="19">
        <f>IF(1&gt;Расчёт!$B$10,"",IF(1&lt;=Расчёт!$B$19,"Первые 3 календарных дня за счёт работодателя, п. 1 ч. 2 ст. 3 255-ФЗ","За счёт Социального фонда России"))</f>
        <v/>
      </c>
    </row>
    <row r="6">
      <c r="A6" s="20" t="n">
        <v>2</v>
      </c>
      <c r="B6" s="21">
        <f>IF(2&gt;Расчёт!$B$10,"",Расчёт!$B$9+1)</f>
        <v/>
      </c>
      <c r="C6" s="20">
        <f>IF(2&gt;Расчёт!$B$10,"",IF(2&lt;=Расчёт!$B$19,"Работодатель","СФР"))</f>
        <v/>
      </c>
      <c r="D6" s="14">
        <f>IF(2&gt;Расчёт!$B$10,"",Расчёт!$B$18)</f>
        <v/>
      </c>
      <c r="E6" s="19">
        <f>IF(2&gt;Расчёт!$B$10,"",IF(2&lt;=Расчёт!$B$19,"Первые 3 календарных дня за счёт работодателя, п. 1 ч. 2 ст. 3 255-ФЗ","За счёт Социального фонда России"))</f>
        <v/>
      </c>
    </row>
    <row r="7">
      <c r="A7" s="20" t="n">
        <v>3</v>
      </c>
      <c r="B7" s="21">
        <f>IF(3&gt;Расчёт!$B$10,"",Расчёт!$B$9+2)</f>
        <v/>
      </c>
      <c r="C7" s="20">
        <f>IF(3&gt;Расчёт!$B$10,"",IF(3&lt;=Расчёт!$B$19,"Работодатель","СФР"))</f>
        <v/>
      </c>
      <c r="D7" s="14">
        <f>IF(3&gt;Расчёт!$B$10,"",Расчёт!$B$18)</f>
        <v/>
      </c>
      <c r="E7" s="19">
        <f>IF(3&gt;Расчёт!$B$10,"",IF(3&lt;=Расчёт!$B$19,"Первые 3 календарных дня за счёт работодателя, п. 1 ч. 2 ст. 3 255-ФЗ","За счёт Социального фонда России"))</f>
        <v/>
      </c>
    </row>
    <row r="8">
      <c r="A8" s="20" t="n">
        <v>4</v>
      </c>
      <c r="B8" s="21">
        <f>IF(4&gt;Расчёт!$B$10,"",Расчёт!$B$9+3)</f>
        <v/>
      </c>
      <c r="C8" s="20">
        <f>IF(4&gt;Расчёт!$B$10,"",IF(4&lt;=Расчёт!$B$19,"Работодатель","СФР"))</f>
        <v/>
      </c>
      <c r="D8" s="14">
        <f>IF(4&gt;Расчёт!$B$10,"",Расчёт!$B$18)</f>
        <v/>
      </c>
      <c r="E8" s="19">
        <f>IF(4&gt;Расчёт!$B$10,"",IF(4&lt;=Расчёт!$B$19,"Первые 3 календарных дня за счёт работодателя, п. 1 ч. 2 ст. 3 255-ФЗ","За счёт Социального фонда России"))</f>
        <v/>
      </c>
    </row>
    <row r="9">
      <c r="A9" s="20" t="n">
        <v>5</v>
      </c>
      <c r="B9" s="21">
        <f>IF(5&gt;Расчёт!$B$10,"",Расчёт!$B$9+4)</f>
        <v/>
      </c>
      <c r="C9" s="20">
        <f>IF(5&gt;Расчёт!$B$10,"",IF(5&lt;=Расчёт!$B$19,"Работодатель","СФР"))</f>
        <v/>
      </c>
      <c r="D9" s="14">
        <f>IF(5&gt;Расчёт!$B$10,"",Расчёт!$B$18)</f>
        <v/>
      </c>
      <c r="E9" s="19">
        <f>IF(5&gt;Расчёт!$B$10,"",IF(5&lt;=Расчёт!$B$19,"Первые 3 календарных дня за счёт работодателя, п. 1 ч. 2 ст. 3 255-ФЗ","За счёт Социального фонда России"))</f>
        <v/>
      </c>
    </row>
    <row r="10">
      <c r="A10" s="20" t="n">
        <v>6</v>
      </c>
      <c r="B10" s="21">
        <f>IF(6&gt;Расчёт!$B$10,"",Расчёт!$B$9+5)</f>
        <v/>
      </c>
      <c r="C10" s="20">
        <f>IF(6&gt;Расчёт!$B$10,"",IF(6&lt;=Расчёт!$B$19,"Работодатель","СФР"))</f>
        <v/>
      </c>
      <c r="D10" s="14">
        <f>IF(6&gt;Расчёт!$B$10,"",Расчёт!$B$18)</f>
        <v/>
      </c>
      <c r="E10" s="19">
        <f>IF(6&gt;Расчёт!$B$10,"",IF(6&lt;=Расчёт!$B$19,"Первые 3 календарных дня за счёт работодателя, п. 1 ч. 2 ст. 3 255-ФЗ","За счёт Социального фонда России"))</f>
        <v/>
      </c>
    </row>
    <row r="11">
      <c r="A11" s="20" t="n">
        <v>7</v>
      </c>
      <c r="B11" s="21">
        <f>IF(7&gt;Расчёт!$B$10,"",Расчёт!$B$9+6)</f>
        <v/>
      </c>
      <c r="C11" s="20">
        <f>IF(7&gt;Расчёт!$B$10,"",IF(7&lt;=Расчёт!$B$19,"Работодатель","СФР"))</f>
        <v/>
      </c>
      <c r="D11" s="14">
        <f>IF(7&gt;Расчёт!$B$10,"",Расчёт!$B$18)</f>
        <v/>
      </c>
      <c r="E11" s="19">
        <f>IF(7&gt;Расчёт!$B$10,"",IF(7&lt;=Расчёт!$B$19,"Первые 3 календарных дня за счёт работодателя, п. 1 ч. 2 ст. 3 255-ФЗ","За счёт Социального фонда России"))</f>
        <v/>
      </c>
    </row>
    <row r="12">
      <c r="A12" s="20" t="n">
        <v>8</v>
      </c>
      <c r="B12" s="21">
        <f>IF(8&gt;Расчёт!$B$10,"",Расчёт!$B$9+7)</f>
        <v/>
      </c>
      <c r="C12" s="20">
        <f>IF(8&gt;Расчёт!$B$10,"",IF(8&lt;=Расчёт!$B$19,"Работодатель","СФР"))</f>
        <v/>
      </c>
      <c r="D12" s="14">
        <f>IF(8&gt;Расчёт!$B$10,"",Расчёт!$B$18)</f>
        <v/>
      </c>
      <c r="E12" s="19">
        <f>IF(8&gt;Расчёт!$B$10,"",IF(8&lt;=Расчёт!$B$19,"Первые 3 календарных дня за счёт работодателя, п. 1 ч. 2 ст. 3 255-ФЗ","За счёт Социального фонда России"))</f>
        <v/>
      </c>
    </row>
    <row r="13">
      <c r="A13" s="20" t="n">
        <v>9</v>
      </c>
      <c r="B13" s="21">
        <f>IF(9&gt;Расчёт!$B$10,"",Расчёт!$B$9+8)</f>
        <v/>
      </c>
      <c r="C13" s="20">
        <f>IF(9&gt;Расчёт!$B$10,"",IF(9&lt;=Расчёт!$B$19,"Работодатель","СФР"))</f>
        <v/>
      </c>
      <c r="D13" s="14">
        <f>IF(9&gt;Расчёт!$B$10,"",Расчёт!$B$18)</f>
        <v/>
      </c>
      <c r="E13" s="19">
        <f>IF(9&gt;Расчёт!$B$10,"",IF(9&lt;=Расчёт!$B$19,"Первые 3 календарных дня за счёт работодателя, п. 1 ч. 2 ст. 3 255-ФЗ","За счёт Социального фонда России"))</f>
        <v/>
      </c>
    </row>
    <row r="14">
      <c r="A14" s="20" t="n">
        <v>10</v>
      </c>
      <c r="B14" s="21">
        <f>IF(10&gt;Расчёт!$B$10,"",Расчёт!$B$9+9)</f>
        <v/>
      </c>
      <c r="C14" s="20">
        <f>IF(10&gt;Расчёт!$B$10,"",IF(10&lt;=Расчёт!$B$19,"Работодатель","СФР"))</f>
        <v/>
      </c>
      <c r="D14" s="14">
        <f>IF(10&gt;Расчёт!$B$10,"",Расчёт!$B$18)</f>
        <v/>
      </c>
      <c r="E14" s="19">
        <f>IF(10&gt;Расчёт!$B$10,"",IF(10&lt;=Расчёт!$B$19,"Первые 3 календарных дня за счёт работодателя, п. 1 ч. 2 ст. 3 255-ФЗ","За счёт Социального фонда России"))</f>
        <v/>
      </c>
    </row>
    <row r="15">
      <c r="A15" s="20" t="n">
        <v>11</v>
      </c>
      <c r="B15" s="21">
        <f>IF(11&gt;Расчёт!$B$10,"",Расчёт!$B$9+10)</f>
        <v/>
      </c>
      <c r="C15" s="20">
        <f>IF(11&gt;Расчёт!$B$10,"",IF(11&lt;=Расчёт!$B$19,"Работодатель","СФР"))</f>
        <v/>
      </c>
      <c r="D15" s="14">
        <f>IF(11&gt;Расчёт!$B$10,"",Расчёт!$B$18)</f>
        <v/>
      </c>
      <c r="E15" s="19">
        <f>IF(11&gt;Расчёт!$B$10,"",IF(11&lt;=Расчёт!$B$19,"Первые 3 календарных дня за счёт работодателя, п. 1 ч. 2 ст. 3 255-ФЗ","За счёт Социального фонда России"))</f>
        <v/>
      </c>
    </row>
    <row r="16">
      <c r="A16" s="20" t="n">
        <v>12</v>
      </c>
      <c r="B16" s="21">
        <f>IF(12&gt;Расчёт!$B$10,"",Расчёт!$B$9+11)</f>
        <v/>
      </c>
      <c r="C16" s="20">
        <f>IF(12&gt;Расчёт!$B$10,"",IF(12&lt;=Расчёт!$B$19,"Работодатель","СФР"))</f>
        <v/>
      </c>
      <c r="D16" s="14">
        <f>IF(12&gt;Расчёт!$B$10,"",Расчёт!$B$18)</f>
        <v/>
      </c>
      <c r="E16" s="19">
        <f>IF(12&gt;Расчёт!$B$10,"",IF(12&lt;=Расчёт!$B$19,"Первые 3 календарных дня за счёт работодателя, п. 1 ч. 2 ст. 3 255-ФЗ","За счёт Социального фонда России"))</f>
        <v/>
      </c>
    </row>
    <row r="17">
      <c r="A17" s="20" t="n">
        <v>13</v>
      </c>
      <c r="B17" s="21">
        <f>IF(13&gt;Расчёт!$B$10,"",Расчёт!$B$9+12)</f>
        <v/>
      </c>
      <c r="C17" s="20">
        <f>IF(13&gt;Расчёт!$B$10,"",IF(13&lt;=Расчёт!$B$19,"Работодатель","СФР"))</f>
        <v/>
      </c>
      <c r="D17" s="14">
        <f>IF(13&gt;Расчёт!$B$10,"",Расчёт!$B$18)</f>
        <v/>
      </c>
      <c r="E17" s="19">
        <f>IF(13&gt;Расчёт!$B$10,"",IF(13&lt;=Расчёт!$B$19,"Первые 3 календарных дня за счёт работодателя, п. 1 ч. 2 ст. 3 255-ФЗ","За счёт Социального фонда России"))</f>
        <v/>
      </c>
    </row>
    <row r="18">
      <c r="A18" s="20" t="n">
        <v>14</v>
      </c>
      <c r="B18" s="21">
        <f>IF(14&gt;Расчёт!$B$10,"",Расчёт!$B$9+13)</f>
        <v/>
      </c>
      <c r="C18" s="20">
        <f>IF(14&gt;Расчёт!$B$10,"",IF(14&lt;=Расчёт!$B$19,"Работодатель","СФР"))</f>
        <v/>
      </c>
      <c r="D18" s="14">
        <f>IF(14&gt;Расчёт!$B$10,"",Расчёт!$B$18)</f>
        <v/>
      </c>
      <c r="E18" s="19">
        <f>IF(14&gt;Расчёт!$B$10,"",IF(14&lt;=Расчёт!$B$19,"Первые 3 календарных дня за счёт работодателя, п. 1 ч. 2 ст. 3 255-ФЗ","За счёт Социального фонда России"))</f>
        <v/>
      </c>
    </row>
    <row r="19">
      <c r="A19" s="20" t="n">
        <v>15</v>
      </c>
      <c r="B19" s="21">
        <f>IF(15&gt;Расчёт!$B$10,"",Расчёт!$B$9+14)</f>
        <v/>
      </c>
      <c r="C19" s="20">
        <f>IF(15&gt;Расчёт!$B$10,"",IF(15&lt;=Расчёт!$B$19,"Работодатель","СФР"))</f>
        <v/>
      </c>
      <c r="D19" s="14">
        <f>IF(15&gt;Расчёт!$B$10,"",Расчёт!$B$18)</f>
        <v/>
      </c>
      <c r="E19" s="19">
        <f>IF(15&gt;Расчёт!$B$10,"",IF(15&lt;=Расчёт!$B$19,"Первые 3 календарных дня за счёт работодателя, п. 1 ч. 2 ст. 3 255-ФЗ","За счёт Социального фонда России"))</f>
        <v/>
      </c>
    </row>
    <row r="20">
      <c r="A20" s="20" t="n">
        <v>16</v>
      </c>
      <c r="B20" s="21">
        <f>IF(16&gt;Расчёт!$B$10,"",Расчёт!$B$9+15)</f>
        <v/>
      </c>
      <c r="C20" s="20">
        <f>IF(16&gt;Расчёт!$B$10,"",IF(16&lt;=Расчёт!$B$19,"Работодатель","СФР"))</f>
        <v/>
      </c>
      <c r="D20" s="14">
        <f>IF(16&gt;Расчёт!$B$10,"",Расчёт!$B$18)</f>
        <v/>
      </c>
      <c r="E20" s="19">
        <f>IF(16&gt;Расчёт!$B$10,"",IF(16&lt;=Расчёт!$B$19,"Первые 3 календарных дня за счёт работодателя, п. 1 ч. 2 ст. 3 255-ФЗ","За счёт Социального фонда России"))</f>
        <v/>
      </c>
    </row>
    <row r="21">
      <c r="A21" s="20" t="n">
        <v>17</v>
      </c>
      <c r="B21" s="21">
        <f>IF(17&gt;Расчёт!$B$10,"",Расчёт!$B$9+16)</f>
        <v/>
      </c>
      <c r="C21" s="20">
        <f>IF(17&gt;Расчёт!$B$10,"",IF(17&lt;=Расчёт!$B$19,"Работодатель","СФР"))</f>
        <v/>
      </c>
      <c r="D21" s="14">
        <f>IF(17&gt;Расчёт!$B$10,"",Расчёт!$B$18)</f>
        <v/>
      </c>
      <c r="E21" s="19">
        <f>IF(17&gt;Расчёт!$B$10,"",IF(17&lt;=Расчёт!$B$19,"Первые 3 календарных дня за счёт работодателя, п. 1 ч. 2 ст. 3 255-ФЗ","За счёт Социального фонда России"))</f>
        <v/>
      </c>
    </row>
    <row r="22">
      <c r="A22" s="20" t="n">
        <v>18</v>
      </c>
      <c r="B22" s="21">
        <f>IF(18&gt;Расчёт!$B$10,"",Расчёт!$B$9+17)</f>
        <v/>
      </c>
      <c r="C22" s="20">
        <f>IF(18&gt;Расчёт!$B$10,"",IF(18&lt;=Расчёт!$B$19,"Работодатель","СФР"))</f>
        <v/>
      </c>
      <c r="D22" s="14">
        <f>IF(18&gt;Расчёт!$B$10,"",Расчёт!$B$18)</f>
        <v/>
      </c>
      <c r="E22" s="19">
        <f>IF(18&gt;Расчёт!$B$10,"",IF(18&lt;=Расчёт!$B$19,"Первые 3 календарных дня за счёт работодателя, п. 1 ч. 2 ст. 3 255-ФЗ","За счёт Социального фонда России"))</f>
        <v/>
      </c>
    </row>
    <row r="23">
      <c r="A23" s="20" t="n">
        <v>19</v>
      </c>
      <c r="B23" s="21">
        <f>IF(19&gt;Расчёт!$B$10,"",Расчёт!$B$9+18)</f>
        <v/>
      </c>
      <c r="C23" s="20">
        <f>IF(19&gt;Расчёт!$B$10,"",IF(19&lt;=Расчёт!$B$19,"Работодатель","СФР"))</f>
        <v/>
      </c>
      <c r="D23" s="14">
        <f>IF(19&gt;Расчёт!$B$10,"",Расчёт!$B$18)</f>
        <v/>
      </c>
      <c r="E23" s="19">
        <f>IF(19&gt;Расчёт!$B$10,"",IF(19&lt;=Расчёт!$B$19,"Первые 3 календарных дня за счёт работодателя, п. 1 ч. 2 ст. 3 255-ФЗ","За счёт Социального фонда России"))</f>
        <v/>
      </c>
    </row>
    <row r="24">
      <c r="A24" s="20" t="n">
        <v>20</v>
      </c>
      <c r="B24" s="21">
        <f>IF(20&gt;Расчёт!$B$10,"",Расчёт!$B$9+19)</f>
        <v/>
      </c>
      <c r="C24" s="20">
        <f>IF(20&gt;Расчёт!$B$10,"",IF(20&lt;=Расчёт!$B$19,"Работодатель","СФР"))</f>
        <v/>
      </c>
      <c r="D24" s="14">
        <f>IF(20&gt;Расчёт!$B$10,"",Расчёт!$B$18)</f>
        <v/>
      </c>
      <c r="E24" s="19">
        <f>IF(20&gt;Расчёт!$B$10,"",IF(20&lt;=Расчёт!$B$19,"Первые 3 календарных дня за счёт работодателя, п. 1 ч. 2 ст. 3 255-ФЗ","За счёт Социального фонда России"))</f>
        <v/>
      </c>
    </row>
    <row r="25">
      <c r="A25" s="20" t="n">
        <v>21</v>
      </c>
      <c r="B25" s="21">
        <f>IF(21&gt;Расчёт!$B$10,"",Расчёт!$B$9+20)</f>
        <v/>
      </c>
      <c r="C25" s="20">
        <f>IF(21&gt;Расчёт!$B$10,"",IF(21&lt;=Расчёт!$B$19,"Работодатель","СФР"))</f>
        <v/>
      </c>
      <c r="D25" s="14">
        <f>IF(21&gt;Расчёт!$B$10,"",Расчёт!$B$18)</f>
        <v/>
      </c>
      <c r="E25" s="19">
        <f>IF(21&gt;Расчёт!$B$10,"",IF(21&lt;=Расчёт!$B$19,"Первые 3 календарных дня за счёт работодателя, п. 1 ч. 2 ст. 3 255-ФЗ","За счёт Социального фонда России"))</f>
        <v/>
      </c>
    </row>
    <row r="26">
      <c r="A26" s="20" t="n">
        <v>22</v>
      </c>
      <c r="B26" s="21">
        <f>IF(22&gt;Расчёт!$B$10,"",Расчёт!$B$9+21)</f>
        <v/>
      </c>
      <c r="C26" s="20">
        <f>IF(22&gt;Расчёт!$B$10,"",IF(22&lt;=Расчёт!$B$19,"Работодатель","СФР"))</f>
        <v/>
      </c>
      <c r="D26" s="14">
        <f>IF(22&gt;Расчёт!$B$10,"",Расчёт!$B$18)</f>
        <v/>
      </c>
      <c r="E26" s="19">
        <f>IF(22&gt;Расчёт!$B$10,"",IF(22&lt;=Расчёт!$B$19,"Первые 3 календарных дня за счёт работодателя, п. 1 ч. 2 ст. 3 255-ФЗ","За счёт Социального фонда России"))</f>
        <v/>
      </c>
    </row>
    <row r="27">
      <c r="A27" s="20" t="n">
        <v>23</v>
      </c>
      <c r="B27" s="21">
        <f>IF(23&gt;Расчёт!$B$10,"",Расчёт!$B$9+22)</f>
        <v/>
      </c>
      <c r="C27" s="20">
        <f>IF(23&gt;Расчёт!$B$10,"",IF(23&lt;=Расчёт!$B$19,"Работодатель","СФР"))</f>
        <v/>
      </c>
      <c r="D27" s="14">
        <f>IF(23&gt;Расчёт!$B$10,"",Расчёт!$B$18)</f>
        <v/>
      </c>
      <c r="E27" s="19">
        <f>IF(23&gt;Расчёт!$B$10,"",IF(23&lt;=Расчёт!$B$19,"Первые 3 календарных дня за счёт работодателя, п. 1 ч. 2 ст. 3 255-ФЗ","За счёт Социального фонда России"))</f>
        <v/>
      </c>
    </row>
    <row r="28">
      <c r="A28" s="20" t="n">
        <v>24</v>
      </c>
      <c r="B28" s="21">
        <f>IF(24&gt;Расчёт!$B$10,"",Расчёт!$B$9+23)</f>
        <v/>
      </c>
      <c r="C28" s="20">
        <f>IF(24&gt;Расчёт!$B$10,"",IF(24&lt;=Расчёт!$B$19,"Работодатель","СФР"))</f>
        <v/>
      </c>
      <c r="D28" s="14">
        <f>IF(24&gt;Расчёт!$B$10,"",Расчёт!$B$18)</f>
        <v/>
      </c>
      <c r="E28" s="19">
        <f>IF(24&gt;Расчёт!$B$10,"",IF(24&lt;=Расчёт!$B$19,"Первые 3 календарных дня за счёт работодателя, п. 1 ч. 2 ст. 3 255-ФЗ","За счёт Социального фонда России"))</f>
        <v/>
      </c>
    </row>
    <row r="29">
      <c r="A29" s="20" t="n">
        <v>25</v>
      </c>
      <c r="B29" s="21">
        <f>IF(25&gt;Расчёт!$B$10,"",Расчёт!$B$9+24)</f>
        <v/>
      </c>
      <c r="C29" s="20">
        <f>IF(25&gt;Расчёт!$B$10,"",IF(25&lt;=Расчёт!$B$19,"Работодатель","СФР"))</f>
        <v/>
      </c>
      <c r="D29" s="14">
        <f>IF(25&gt;Расчёт!$B$10,"",Расчёт!$B$18)</f>
        <v/>
      </c>
      <c r="E29" s="19">
        <f>IF(25&gt;Расчёт!$B$10,"",IF(25&lt;=Расчёт!$B$19,"Первые 3 календарных дня за счёт работодателя, п. 1 ч. 2 ст. 3 255-ФЗ","За счёт Социального фонда России"))</f>
        <v/>
      </c>
    </row>
    <row r="30">
      <c r="A30" s="20" t="n">
        <v>26</v>
      </c>
      <c r="B30" s="21">
        <f>IF(26&gt;Расчёт!$B$10,"",Расчёт!$B$9+25)</f>
        <v/>
      </c>
      <c r="C30" s="20">
        <f>IF(26&gt;Расчёт!$B$10,"",IF(26&lt;=Расчёт!$B$19,"Работодатель","СФР"))</f>
        <v/>
      </c>
      <c r="D30" s="14">
        <f>IF(26&gt;Расчёт!$B$10,"",Расчёт!$B$18)</f>
        <v/>
      </c>
      <c r="E30" s="19">
        <f>IF(26&gt;Расчёт!$B$10,"",IF(26&lt;=Расчёт!$B$19,"Первые 3 календарных дня за счёт работодателя, п. 1 ч. 2 ст. 3 255-ФЗ","За счёт Социального фонда России"))</f>
        <v/>
      </c>
    </row>
    <row r="31">
      <c r="A31" s="20" t="n">
        <v>27</v>
      </c>
      <c r="B31" s="21">
        <f>IF(27&gt;Расчёт!$B$10,"",Расчёт!$B$9+26)</f>
        <v/>
      </c>
      <c r="C31" s="20">
        <f>IF(27&gt;Расчёт!$B$10,"",IF(27&lt;=Расчёт!$B$19,"Работодатель","СФР"))</f>
        <v/>
      </c>
      <c r="D31" s="14">
        <f>IF(27&gt;Расчёт!$B$10,"",Расчёт!$B$18)</f>
        <v/>
      </c>
      <c r="E31" s="19">
        <f>IF(27&gt;Расчёт!$B$10,"",IF(27&lt;=Расчёт!$B$19,"Первые 3 календарных дня за счёт работодателя, п. 1 ч. 2 ст. 3 255-ФЗ","За счёт Социального фонда России"))</f>
        <v/>
      </c>
    </row>
    <row r="32">
      <c r="A32" s="20" t="n">
        <v>28</v>
      </c>
      <c r="B32" s="21">
        <f>IF(28&gt;Расчёт!$B$10,"",Расчёт!$B$9+27)</f>
        <v/>
      </c>
      <c r="C32" s="20">
        <f>IF(28&gt;Расчёт!$B$10,"",IF(28&lt;=Расчёт!$B$19,"Работодатель","СФР"))</f>
        <v/>
      </c>
      <c r="D32" s="14">
        <f>IF(28&gt;Расчёт!$B$10,"",Расчёт!$B$18)</f>
        <v/>
      </c>
      <c r="E32" s="19">
        <f>IF(28&gt;Расчёт!$B$10,"",IF(28&lt;=Расчёт!$B$19,"Первые 3 календарных дня за счёт работодателя, п. 1 ч. 2 ст. 3 255-ФЗ","За счёт Социального фонда России"))</f>
        <v/>
      </c>
    </row>
    <row r="33">
      <c r="A33" s="20" t="n">
        <v>29</v>
      </c>
      <c r="B33" s="21">
        <f>IF(29&gt;Расчёт!$B$10,"",Расчёт!$B$9+28)</f>
        <v/>
      </c>
      <c r="C33" s="20">
        <f>IF(29&gt;Расчёт!$B$10,"",IF(29&lt;=Расчёт!$B$19,"Работодатель","СФР"))</f>
        <v/>
      </c>
      <c r="D33" s="14">
        <f>IF(29&gt;Расчёт!$B$10,"",Расчёт!$B$18)</f>
        <v/>
      </c>
      <c r="E33" s="19">
        <f>IF(29&gt;Расчёт!$B$10,"",IF(29&lt;=Расчёт!$B$19,"Первые 3 календарных дня за счёт работодателя, п. 1 ч. 2 ст. 3 255-ФЗ","За счёт Социального фонда России"))</f>
        <v/>
      </c>
    </row>
    <row r="34">
      <c r="A34" s="20" t="n">
        <v>30</v>
      </c>
      <c r="B34" s="21">
        <f>IF(30&gt;Расчёт!$B$10,"",Расчёт!$B$9+29)</f>
        <v/>
      </c>
      <c r="C34" s="20">
        <f>IF(30&gt;Расчёт!$B$10,"",IF(30&lt;=Расчёт!$B$19,"Работодатель","СФР"))</f>
        <v/>
      </c>
      <c r="D34" s="14">
        <f>IF(30&gt;Расчёт!$B$10,"",Расчёт!$B$18)</f>
        <v/>
      </c>
      <c r="E34" s="19">
        <f>IF(30&gt;Расчёт!$B$10,"",IF(30&lt;=Расчёт!$B$19,"Первые 3 календарных дня за счёт работодателя, п. 1 ч. 2 ст. 3 255-ФЗ","За счёт Социального фонда России"))</f>
        <v/>
      </c>
    </row>
    <row r="35">
      <c r="A35" s="20" t="n">
        <v>31</v>
      </c>
      <c r="B35" s="21">
        <f>IF(31&gt;Расчёт!$B$10,"",Расчёт!$B$9+30)</f>
        <v/>
      </c>
      <c r="C35" s="20">
        <f>IF(31&gt;Расчёт!$B$10,"",IF(31&lt;=Расчёт!$B$19,"Работодатель","СФР"))</f>
        <v/>
      </c>
      <c r="D35" s="14">
        <f>IF(31&gt;Расчёт!$B$10,"",Расчёт!$B$18)</f>
        <v/>
      </c>
      <c r="E35" s="19">
        <f>IF(31&gt;Расчёт!$B$10,"",IF(31&lt;=Расчёт!$B$19,"Первые 3 календарных дня за счёт работодателя, п. 1 ч. 2 ст. 3 255-ФЗ","За счёт Социального фонда России"))</f>
        <v/>
      </c>
    </row>
    <row r="36">
      <c r="A36" s="20" t="n">
        <v>32</v>
      </c>
      <c r="B36" s="21">
        <f>IF(32&gt;Расчёт!$B$10,"",Расчёт!$B$9+31)</f>
        <v/>
      </c>
      <c r="C36" s="20">
        <f>IF(32&gt;Расчёт!$B$10,"",IF(32&lt;=Расчёт!$B$19,"Работодатель","СФР"))</f>
        <v/>
      </c>
      <c r="D36" s="14">
        <f>IF(32&gt;Расчёт!$B$10,"",Расчёт!$B$18)</f>
        <v/>
      </c>
      <c r="E36" s="19">
        <f>IF(32&gt;Расчёт!$B$10,"",IF(32&lt;=Расчёт!$B$19,"Первые 3 календарных дня за счёт работодателя, п. 1 ч. 2 ст. 3 255-ФЗ","За счёт Социального фонда России"))</f>
        <v/>
      </c>
    </row>
    <row r="37">
      <c r="A37" s="20" t="n">
        <v>33</v>
      </c>
      <c r="B37" s="21">
        <f>IF(33&gt;Расчёт!$B$10,"",Расчёт!$B$9+32)</f>
        <v/>
      </c>
      <c r="C37" s="20">
        <f>IF(33&gt;Расчёт!$B$10,"",IF(33&lt;=Расчёт!$B$19,"Работодатель","СФР"))</f>
        <v/>
      </c>
      <c r="D37" s="14">
        <f>IF(33&gt;Расчёт!$B$10,"",Расчёт!$B$18)</f>
        <v/>
      </c>
      <c r="E37" s="19">
        <f>IF(33&gt;Расчёт!$B$10,"",IF(33&lt;=Расчёт!$B$19,"Первые 3 календарных дня за счёт работодателя, п. 1 ч. 2 ст. 3 255-ФЗ","За счёт Социального фонда России"))</f>
        <v/>
      </c>
    </row>
    <row r="38">
      <c r="A38" s="20" t="n">
        <v>34</v>
      </c>
      <c r="B38" s="21">
        <f>IF(34&gt;Расчёт!$B$10,"",Расчёт!$B$9+33)</f>
        <v/>
      </c>
      <c r="C38" s="20">
        <f>IF(34&gt;Расчёт!$B$10,"",IF(34&lt;=Расчёт!$B$19,"Работодатель","СФР"))</f>
        <v/>
      </c>
      <c r="D38" s="14">
        <f>IF(34&gt;Расчёт!$B$10,"",Расчёт!$B$18)</f>
        <v/>
      </c>
      <c r="E38" s="19">
        <f>IF(34&gt;Расчёт!$B$10,"",IF(34&lt;=Расчёт!$B$19,"Первые 3 календарных дня за счёт работодателя, п. 1 ч. 2 ст. 3 255-ФЗ","За счёт Социального фонда России"))</f>
        <v/>
      </c>
    </row>
    <row r="39">
      <c r="A39" s="20" t="n">
        <v>35</v>
      </c>
      <c r="B39" s="21">
        <f>IF(35&gt;Расчёт!$B$10,"",Расчёт!$B$9+34)</f>
        <v/>
      </c>
      <c r="C39" s="20">
        <f>IF(35&gt;Расчёт!$B$10,"",IF(35&lt;=Расчёт!$B$19,"Работодатель","СФР"))</f>
        <v/>
      </c>
      <c r="D39" s="14">
        <f>IF(35&gt;Расчёт!$B$10,"",Расчёт!$B$18)</f>
        <v/>
      </c>
      <c r="E39" s="19">
        <f>IF(35&gt;Расчёт!$B$10,"",IF(35&lt;=Расчёт!$B$19,"Первые 3 календарных дня за счёт работодателя, п. 1 ч. 2 ст. 3 255-ФЗ","За счёт Социального фонда России"))</f>
        <v/>
      </c>
    </row>
    <row r="40">
      <c r="A40" s="20" t="n">
        <v>36</v>
      </c>
      <c r="B40" s="21">
        <f>IF(36&gt;Расчёт!$B$10,"",Расчёт!$B$9+35)</f>
        <v/>
      </c>
      <c r="C40" s="20">
        <f>IF(36&gt;Расчёт!$B$10,"",IF(36&lt;=Расчёт!$B$19,"Работодатель","СФР"))</f>
        <v/>
      </c>
      <c r="D40" s="14">
        <f>IF(36&gt;Расчёт!$B$10,"",Расчёт!$B$18)</f>
        <v/>
      </c>
      <c r="E40" s="19">
        <f>IF(36&gt;Расчёт!$B$10,"",IF(36&lt;=Расчёт!$B$19,"Первые 3 календарных дня за счёт работодателя, п. 1 ч. 2 ст. 3 255-ФЗ","За счёт Социального фонда России"))</f>
        <v/>
      </c>
    </row>
    <row r="41">
      <c r="A41" s="20" t="n">
        <v>37</v>
      </c>
      <c r="B41" s="21">
        <f>IF(37&gt;Расчёт!$B$10,"",Расчёт!$B$9+36)</f>
        <v/>
      </c>
      <c r="C41" s="20">
        <f>IF(37&gt;Расчёт!$B$10,"",IF(37&lt;=Расчёт!$B$19,"Работодатель","СФР"))</f>
        <v/>
      </c>
      <c r="D41" s="14">
        <f>IF(37&gt;Расчёт!$B$10,"",Расчёт!$B$18)</f>
        <v/>
      </c>
      <c r="E41" s="19">
        <f>IF(37&gt;Расчёт!$B$10,"",IF(37&lt;=Расчёт!$B$19,"Первые 3 календарных дня за счёт работодателя, п. 1 ч. 2 ст. 3 255-ФЗ","За счёт Социального фонда России"))</f>
        <v/>
      </c>
    </row>
    <row r="42">
      <c r="A42" s="20" t="n">
        <v>38</v>
      </c>
      <c r="B42" s="21">
        <f>IF(38&gt;Расчёт!$B$10,"",Расчёт!$B$9+37)</f>
        <v/>
      </c>
      <c r="C42" s="20">
        <f>IF(38&gt;Расчёт!$B$10,"",IF(38&lt;=Расчёт!$B$19,"Работодатель","СФР"))</f>
        <v/>
      </c>
      <c r="D42" s="14">
        <f>IF(38&gt;Расчёт!$B$10,"",Расчёт!$B$18)</f>
        <v/>
      </c>
      <c r="E42" s="19">
        <f>IF(38&gt;Расчёт!$B$10,"",IF(38&lt;=Расчёт!$B$19,"Первые 3 календарных дня за счёт работодателя, п. 1 ч. 2 ст. 3 255-ФЗ","За счёт Социального фонда России"))</f>
        <v/>
      </c>
    </row>
    <row r="43">
      <c r="A43" s="20" t="n">
        <v>39</v>
      </c>
      <c r="B43" s="21">
        <f>IF(39&gt;Расчёт!$B$10,"",Расчёт!$B$9+38)</f>
        <v/>
      </c>
      <c r="C43" s="20">
        <f>IF(39&gt;Расчёт!$B$10,"",IF(39&lt;=Расчёт!$B$19,"Работодатель","СФР"))</f>
        <v/>
      </c>
      <c r="D43" s="14">
        <f>IF(39&gt;Расчёт!$B$10,"",Расчёт!$B$18)</f>
        <v/>
      </c>
      <c r="E43" s="19">
        <f>IF(39&gt;Расчёт!$B$10,"",IF(39&lt;=Расчёт!$B$19,"Первые 3 календарных дня за счёт работодателя, п. 1 ч. 2 ст. 3 255-ФЗ","За счёт Социального фонда России"))</f>
        <v/>
      </c>
    </row>
    <row r="44">
      <c r="A44" s="20" t="n">
        <v>40</v>
      </c>
      <c r="B44" s="21">
        <f>IF(40&gt;Расчёт!$B$10,"",Расчёт!$B$9+39)</f>
        <v/>
      </c>
      <c r="C44" s="20">
        <f>IF(40&gt;Расчёт!$B$10,"",IF(40&lt;=Расчёт!$B$19,"Работодатель","СФР"))</f>
        <v/>
      </c>
      <c r="D44" s="14">
        <f>IF(40&gt;Расчёт!$B$10,"",Расчёт!$B$18)</f>
        <v/>
      </c>
      <c r="E44" s="19">
        <f>IF(40&gt;Расчёт!$B$10,"",IF(40&lt;=Расчёт!$B$19,"Первые 3 календарных дня за счёт работодателя, п. 1 ч. 2 ст. 3 255-ФЗ","За счёт Социального фонда России"))</f>
        <v/>
      </c>
    </row>
    <row r="45">
      <c r="A45" s="20" t="n">
        <v>41</v>
      </c>
      <c r="B45" s="21">
        <f>IF(41&gt;Расчёт!$B$10,"",Расчёт!$B$9+40)</f>
        <v/>
      </c>
      <c r="C45" s="20">
        <f>IF(41&gt;Расчёт!$B$10,"",IF(41&lt;=Расчёт!$B$19,"Работодатель","СФР"))</f>
        <v/>
      </c>
      <c r="D45" s="14">
        <f>IF(41&gt;Расчёт!$B$10,"",Расчёт!$B$18)</f>
        <v/>
      </c>
      <c r="E45" s="19">
        <f>IF(41&gt;Расчёт!$B$10,"",IF(41&lt;=Расчёт!$B$19,"Первые 3 календарных дня за счёт работодателя, п. 1 ч. 2 ст. 3 255-ФЗ","За счёт Социального фонда России"))</f>
        <v/>
      </c>
    </row>
    <row r="46">
      <c r="A46" s="20" t="n">
        <v>42</v>
      </c>
      <c r="B46" s="21">
        <f>IF(42&gt;Расчёт!$B$10,"",Расчёт!$B$9+41)</f>
        <v/>
      </c>
      <c r="C46" s="20">
        <f>IF(42&gt;Расчёт!$B$10,"",IF(42&lt;=Расчёт!$B$19,"Работодатель","СФР"))</f>
        <v/>
      </c>
      <c r="D46" s="14">
        <f>IF(42&gt;Расчёт!$B$10,"",Расчёт!$B$18)</f>
        <v/>
      </c>
      <c r="E46" s="19">
        <f>IF(42&gt;Расчёт!$B$10,"",IF(42&lt;=Расчёт!$B$19,"Первые 3 календарных дня за счёт работодателя, п. 1 ч. 2 ст. 3 255-ФЗ","За счёт Социального фонда России"))</f>
        <v/>
      </c>
    </row>
    <row r="47">
      <c r="A47" s="20" t="n">
        <v>43</v>
      </c>
      <c r="B47" s="21">
        <f>IF(43&gt;Расчёт!$B$10,"",Расчёт!$B$9+42)</f>
        <v/>
      </c>
      <c r="C47" s="20">
        <f>IF(43&gt;Расчёт!$B$10,"",IF(43&lt;=Расчёт!$B$19,"Работодатель","СФР"))</f>
        <v/>
      </c>
      <c r="D47" s="14">
        <f>IF(43&gt;Расчёт!$B$10,"",Расчёт!$B$18)</f>
        <v/>
      </c>
      <c r="E47" s="19">
        <f>IF(43&gt;Расчёт!$B$10,"",IF(43&lt;=Расчёт!$B$19,"Первые 3 календарных дня за счёт работодателя, п. 1 ч. 2 ст. 3 255-ФЗ","За счёт Социального фонда России"))</f>
        <v/>
      </c>
    </row>
    <row r="48">
      <c r="A48" s="20" t="n">
        <v>44</v>
      </c>
      <c r="B48" s="21">
        <f>IF(44&gt;Расчёт!$B$10,"",Расчёт!$B$9+43)</f>
        <v/>
      </c>
      <c r="C48" s="20">
        <f>IF(44&gt;Расчёт!$B$10,"",IF(44&lt;=Расчёт!$B$19,"Работодатель","СФР"))</f>
        <v/>
      </c>
      <c r="D48" s="14">
        <f>IF(44&gt;Расчёт!$B$10,"",Расчёт!$B$18)</f>
        <v/>
      </c>
      <c r="E48" s="19">
        <f>IF(44&gt;Расчёт!$B$10,"",IF(44&lt;=Расчёт!$B$19,"Первые 3 календарных дня за счёт работодателя, п. 1 ч. 2 ст. 3 255-ФЗ","За счёт Социального фонда России"))</f>
        <v/>
      </c>
    </row>
    <row r="49">
      <c r="A49" s="20" t="n">
        <v>45</v>
      </c>
      <c r="B49" s="21">
        <f>IF(45&gt;Расчёт!$B$10,"",Расчёт!$B$9+44)</f>
        <v/>
      </c>
      <c r="C49" s="20">
        <f>IF(45&gt;Расчёт!$B$10,"",IF(45&lt;=Расчёт!$B$19,"Работодатель","СФР"))</f>
        <v/>
      </c>
      <c r="D49" s="14">
        <f>IF(45&gt;Расчёт!$B$10,"",Расчёт!$B$18)</f>
        <v/>
      </c>
      <c r="E49" s="19">
        <f>IF(45&gt;Расчёт!$B$10,"",IF(45&lt;=Расчёт!$B$19,"Первые 3 календарных дня за счёт работодателя, п. 1 ч. 2 ст. 3 255-ФЗ","За счёт Социального фонда России"))</f>
        <v/>
      </c>
    </row>
    <row r="50">
      <c r="A50" s="20" t="n">
        <v>46</v>
      </c>
      <c r="B50" s="21">
        <f>IF(46&gt;Расчёт!$B$10,"",Расчёт!$B$9+45)</f>
        <v/>
      </c>
      <c r="C50" s="20">
        <f>IF(46&gt;Расчёт!$B$10,"",IF(46&lt;=Расчёт!$B$19,"Работодатель","СФР"))</f>
        <v/>
      </c>
      <c r="D50" s="14">
        <f>IF(46&gt;Расчёт!$B$10,"",Расчёт!$B$18)</f>
        <v/>
      </c>
      <c r="E50" s="19">
        <f>IF(46&gt;Расчёт!$B$10,"",IF(46&lt;=Расчёт!$B$19,"Первые 3 календарных дня за счёт работодателя, п. 1 ч. 2 ст. 3 255-ФЗ","За счёт Социального фонда России"))</f>
        <v/>
      </c>
    </row>
    <row r="51">
      <c r="A51" s="20" t="n">
        <v>47</v>
      </c>
      <c r="B51" s="21">
        <f>IF(47&gt;Расчёт!$B$10,"",Расчёт!$B$9+46)</f>
        <v/>
      </c>
      <c r="C51" s="20">
        <f>IF(47&gt;Расчёт!$B$10,"",IF(47&lt;=Расчёт!$B$19,"Работодатель","СФР"))</f>
        <v/>
      </c>
      <c r="D51" s="14">
        <f>IF(47&gt;Расчёт!$B$10,"",Расчёт!$B$18)</f>
        <v/>
      </c>
      <c r="E51" s="19">
        <f>IF(47&gt;Расчёт!$B$10,"",IF(47&lt;=Расчёт!$B$19,"Первые 3 календарных дня за счёт работодателя, п. 1 ч. 2 ст. 3 255-ФЗ","За счёт Социального фонда России"))</f>
        <v/>
      </c>
    </row>
    <row r="52">
      <c r="A52" s="20" t="n">
        <v>48</v>
      </c>
      <c r="B52" s="21">
        <f>IF(48&gt;Расчёт!$B$10,"",Расчёт!$B$9+47)</f>
        <v/>
      </c>
      <c r="C52" s="20">
        <f>IF(48&gt;Расчёт!$B$10,"",IF(48&lt;=Расчёт!$B$19,"Работодатель","СФР"))</f>
        <v/>
      </c>
      <c r="D52" s="14">
        <f>IF(48&gt;Расчёт!$B$10,"",Расчёт!$B$18)</f>
        <v/>
      </c>
      <c r="E52" s="19">
        <f>IF(48&gt;Расчёт!$B$10,"",IF(48&lt;=Расчёт!$B$19,"Первые 3 календарных дня за счёт работодателя, п. 1 ч. 2 ст. 3 255-ФЗ","За счёт Социального фонда России"))</f>
        <v/>
      </c>
    </row>
    <row r="53">
      <c r="A53" s="20" t="n">
        <v>49</v>
      </c>
      <c r="B53" s="21">
        <f>IF(49&gt;Расчёт!$B$10,"",Расчёт!$B$9+48)</f>
        <v/>
      </c>
      <c r="C53" s="20">
        <f>IF(49&gt;Расчёт!$B$10,"",IF(49&lt;=Расчёт!$B$19,"Работодатель","СФР"))</f>
        <v/>
      </c>
      <c r="D53" s="14">
        <f>IF(49&gt;Расчёт!$B$10,"",Расчёт!$B$18)</f>
        <v/>
      </c>
      <c r="E53" s="19">
        <f>IF(49&gt;Расчёт!$B$10,"",IF(49&lt;=Расчёт!$B$19,"Первые 3 календарных дня за счёт работодателя, п. 1 ч. 2 ст. 3 255-ФЗ","За счёт Социального фонда России"))</f>
        <v/>
      </c>
    </row>
    <row r="54">
      <c r="A54" s="20" t="n">
        <v>50</v>
      </c>
      <c r="B54" s="21">
        <f>IF(50&gt;Расчёт!$B$10,"",Расчёт!$B$9+49)</f>
        <v/>
      </c>
      <c r="C54" s="20">
        <f>IF(50&gt;Расчёт!$B$10,"",IF(50&lt;=Расчёт!$B$19,"Работодатель","СФР"))</f>
        <v/>
      </c>
      <c r="D54" s="14">
        <f>IF(50&gt;Расчёт!$B$10,"",Расчёт!$B$18)</f>
        <v/>
      </c>
      <c r="E54" s="19">
        <f>IF(50&gt;Расчёт!$B$10,"",IF(50&lt;=Расчёт!$B$19,"Первые 3 календарных дня за счёт работодателя, п. 1 ч. 2 ст. 3 255-ФЗ","За счёт Социального фонда России"))</f>
        <v/>
      </c>
    </row>
    <row r="55">
      <c r="A55" s="20" t="n">
        <v>51</v>
      </c>
      <c r="B55" s="21">
        <f>IF(51&gt;Расчёт!$B$10,"",Расчёт!$B$9+50)</f>
        <v/>
      </c>
      <c r="C55" s="20">
        <f>IF(51&gt;Расчёт!$B$10,"",IF(51&lt;=Расчёт!$B$19,"Работодатель","СФР"))</f>
        <v/>
      </c>
      <c r="D55" s="14">
        <f>IF(51&gt;Расчёт!$B$10,"",Расчёт!$B$18)</f>
        <v/>
      </c>
      <c r="E55" s="19">
        <f>IF(51&gt;Расчёт!$B$10,"",IF(51&lt;=Расчёт!$B$19,"Первые 3 календарных дня за счёт работодателя, п. 1 ч. 2 ст. 3 255-ФЗ","За счёт Социального фонда России"))</f>
        <v/>
      </c>
    </row>
    <row r="56">
      <c r="A56" s="20" t="n">
        <v>52</v>
      </c>
      <c r="B56" s="21">
        <f>IF(52&gt;Расчёт!$B$10,"",Расчёт!$B$9+51)</f>
        <v/>
      </c>
      <c r="C56" s="20">
        <f>IF(52&gt;Расчёт!$B$10,"",IF(52&lt;=Расчёт!$B$19,"Работодатель","СФР"))</f>
        <v/>
      </c>
      <c r="D56" s="14">
        <f>IF(52&gt;Расчёт!$B$10,"",Расчёт!$B$18)</f>
        <v/>
      </c>
      <c r="E56" s="19">
        <f>IF(52&gt;Расчёт!$B$10,"",IF(52&lt;=Расчёт!$B$19,"Первые 3 календарных дня за счёт работодателя, п. 1 ч. 2 ст. 3 255-ФЗ","За счёт Социального фонда России"))</f>
        <v/>
      </c>
    </row>
    <row r="57">
      <c r="A57" s="20" t="n">
        <v>53</v>
      </c>
      <c r="B57" s="21">
        <f>IF(53&gt;Расчёт!$B$10,"",Расчёт!$B$9+52)</f>
        <v/>
      </c>
      <c r="C57" s="20">
        <f>IF(53&gt;Расчёт!$B$10,"",IF(53&lt;=Расчёт!$B$19,"Работодатель","СФР"))</f>
        <v/>
      </c>
      <c r="D57" s="14">
        <f>IF(53&gt;Расчёт!$B$10,"",Расчёт!$B$18)</f>
        <v/>
      </c>
      <c r="E57" s="19">
        <f>IF(53&gt;Расчёт!$B$10,"",IF(53&lt;=Расчёт!$B$19,"Первые 3 календарных дня за счёт работодателя, п. 1 ч. 2 ст. 3 255-ФЗ","За счёт Социального фонда России"))</f>
        <v/>
      </c>
    </row>
    <row r="58">
      <c r="A58" s="20" t="n">
        <v>54</v>
      </c>
      <c r="B58" s="21">
        <f>IF(54&gt;Расчёт!$B$10,"",Расчёт!$B$9+53)</f>
        <v/>
      </c>
      <c r="C58" s="20">
        <f>IF(54&gt;Расчёт!$B$10,"",IF(54&lt;=Расчёт!$B$19,"Работодатель","СФР"))</f>
        <v/>
      </c>
      <c r="D58" s="14">
        <f>IF(54&gt;Расчёт!$B$10,"",Расчёт!$B$18)</f>
        <v/>
      </c>
      <c r="E58" s="19">
        <f>IF(54&gt;Расчёт!$B$10,"",IF(54&lt;=Расчёт!$B$19,"Первые 3 календарных дня за счёт работодателя, п. 1 ч. 2 ст. 3 255-ФЗ","За счёт Социального фонда России"))</f>
        <v/>
      </c>
    </row>
    <row r="59">
      <c r="A59" s="20" t="n">
        <v>55</v>
      </c>
      <c r="B59" s="21">
        <f>IF(55&gt;Расчёт!$B$10,"",Расчёт!$B$9+54)</f>
        <v/>
      </c>
      <c r="C59" s="20">
        <f>IF(55&gt;Расчёт!$B$10,"",IF(55&lt;=Расчёт!$B$19,"Работодатель","СФР"))</f>
        <v/>
      </c>
      <c r="D59" s="14">
        <f>IF(55&gt;Расчёт!$B$10,"",Расчёт!$B$18)</f>
        <v/>
      </c>
      <c r="E59" s="19">
        <f>IF(55&gt;Расчёт!$B$10,"",IF(55&lt;=Расчёт!$B$19,"Первые 3 календарных дня за счёт работодателя, п. 1 ч. 2 ст. 3 255-ФЗ","За счёт Социального фонда России"))</f>
        <v/>
      </c>
    </row>
    <row r="60">
      <c r="A60" s="20" t="n">
        <v>56</v>
      </c>
      <c r="B60" s="21">
        <f>IF(56&gt;Расчёт!$B$10,"",Расчёт!$B$9+55)</f>
        <v/>
      </c>
      <c r="C60" s="20">
        <f>IF(56&gt;Расчёт!$B$10,"",IF(56&lt;=Расчёт!$B$19,"Работодатель","СФР"))</f>
        <v/>
      </c>
      <c r="D60" s="14">
        <f>IF(56&gt;Расчёт!$B$10,"",Расчёт!$B$18)</f>
        <v/>
      </c>
      <c r="E60" s="19">
        <f>IF(56&gt;Расчёт!$B$10,"",IF(56&lt;=Расчёт!$B$19,"Первые 3 календарных дня за счёт работодателя, п. 1 ч. 2 ст. 3 255-ФЗ","За счёт Социального фонда России"))</f>
        <v/>
      </c>
    </row>
    <row r="61">
      <c r="A61" s="20" t="n">
        <v>57</v>
      </c>
      <c r="B61" s="21">
        <f>IF(57&gt;Расчёт!$B$10,"",Расчёт!$B$9+56)</f>
        <v/>
      </c>
      <c r="C61" s="20">
        <f>IF(57&gt;Расчёт!$B$10,"",IF(57&lt;=Расчёт!$B$19,"Работодатель","СФР"))</f>
        <v/>
      </c>
      <c r="D61" s="14">
        <f>IF(57&gt;Расчёт!$B$10,"",Расчёт!$B$18)</f>
        <v/>
      </c>
      <c r="E61" s="19">
        <f>IF(57&gt;Расчёт!$B$10,"",IF(57&lt;=Расчёт!$B$19,"Первые 3 календарных дня за счёт работодателя, п. 1 ч. 2 ст. 3 255-ФЗ","За счёт Социального фонда России"))</f>
        <v/>
      </c>
    </row>
    <row r="62">
      <c r="A62" s="20" t="n">
        <v>58</v>
      </c>
      <c r="B62" s="21">
        <f>IF(58&gt;Расчёт!$B$10,"",Расчёт!$B$9+57)</f>
        <v/>
      </c>
      <c r="C62" s="20">
        <f>IF(58&gt;Расчёт!$B$10,"",IF(58&lt;=Расчёт!$B$19,"Работодатель","СФР"))</f>
        <v/>
      </c>
      <c r="D62" s="14">
        <f>IF(58&gt;Расчёт!$B$10,"",Расчёт!$B$18)</f>
        <v/>
      </c>
      <c r="E62" s="19">
        <f>IF(58&gt;Расчёт!$B$10,"",IF(58&lt;=Расчёт!$B$19,"Первые 3 календарных дня за счёт работодателя, п. 1 ч. 2 ст. 3 255-ФЗ","За счёт Социального фонда России"))</f>
        <v/>
      </c>
    </row>
    <row r="63">
      <c r="A63" s="20" t="n">
        <v>59</v>
      </c>
      <c r="B63" s="21">
        <f>IF(59&gt;Расчёт!$B$10,"",Расчёт!$B$9+58)</f>
        <v/>
      </c>
      <c r="C63" s="20">
        <f>IF(59&gt;Расчёт!$B$10,"",IF(59&lt;=Расчёт!$B$19,"Работодатель","СФР"))</f>
        <v/>
      </c>
      <c r="D63" s="14">
        <f>IF(59&gt;Расчёт!$B$10,"",Расчёт!$B$18)</f>
        <v/>
      </c>
      <c r="E63" s="19">
        <f>IF(59&gt;Расчёт!$B$10,"",IF(59&lt;=Расчёт!$B$19,"Первые 3 календарных дня за счёт работодателя, п. 1 ч. 2 ст. 3 255-ФЗ","За счёт Социального фонда России"))</f>
        <v/>
      </c>
    </row>
    <row r="64">
      <c r="A64" s="20" t="n">
        <v>60</v>
      </c>
      <c r="B64" s="21">
        <f>IF(60&gt;Расчёт!$B$10,"",Расчёт!$B$9+59)</f>
        <v/>
      </c>
      <c r="C64" s="20">
        <f>IF(60&gt;Расчёт!$B$10,"",IF(60&lt;=Расчёт!$B$19,"Работодатель","СФР"))</f>
        <v/>
      </c>
      <c r="D64" s="14">
        <f>IF(60&gt;Расчёт!$B$10,"",Расчёт!$B$18)</f>
        <v/>
      </c>
      <c r="E64" s="19">
        <f>IF(60&gt;Расчёт!$B$10,"",IF(60&lt;=Расчёт!$B$19,"Первые 3 календарных дня за счёт работодателя, п. 1 ч. 2 ст. 3 255-ФЗ","За счёт Социального фонда России"))</f>
        <v/>
      </c>
    </row>
    <row r="65">
      <c r="A65" s="22" t="inlineStr">
        <is>
          <t>Итого</t>
        </is>
      </c>
      <c r="C65" s="23" t="inlineStr">
        <is>
          <t>Работодатель</t>
        </is>
      </c>
      <c r="D65" s="17">
        <f>SUMIF($C$5:$C$64,"Работодатель",$D$5:$D$64)</f>
        <v/>
      </c>
    </row>
    <row r="66">
      <c r="C66" s="23" t="inlineStr">
        <is>
          <t>СФР</t>
        </is>
      </c>
      <c r="D66" s="17">
        <f>SUMIF($C$5:$C$64,"СФР",$D$5:$D$64)</f>
        <v/>
      </c>
    </row>
    <row r="67">
      <c r="C67" s="23" t="inlineStr">
        <is>
          <t>Всего по листку</t>
        </is>
      </c>
      <c r="D67" s="17">
        <f>D65+D66</f>
        <v/>
      </c>
    </row>
    <row r="69">
      <c r="A69" s="6" t="inlineStr">
        <is>
          <t>Данные актуальны на 24 сентября 2026 года. Материал подготовлен сервисом КЭДО Добыто.</t>
        </is>
      </c>
    </row>
    <row r="70" ht="30" customHeight="1">
      <c r="A70" s="7" t="inlineStr">
        <is>
          <t>Свою часть работодатель назначает в течение 10 календарных дней со дня получения сведений о закрытом листке и выплачивает в ближайший день, установленный для выплаты заработной платы. Фонд назначает и выплачивает свою часть в срок, не превышающий 10 рабочих дней со дня, когда работодатель представил все недостающие сведения.</t>
        </is>
      </c>
    </row>
    <row r="71" ht="30" customHeight="1">
      <c r="A71" s="7" t="inlineStr">
        <is>
          <t>Срок работодателя на ответ фонду - 3 рабочих дня. За непредставление сведений, необходимых для назначения и выплаты пособия, статья 15.2 закона 255-ФЗ устанавливает штраф 5 000 рублей.</t>
        </is>
      </c>
    </row>
  </sheetData>
  <mergeCells count="4">
    <mergeCell ref="A2:E2"/>
    <mergeCell ref="A65:B65"/>
    <mergeCell ref="A70:E70"/>
    <mergeCell ref="A71:E71"/>
  </mergeCells>
  <pageMargins left="0.4" right="0.4" top="0.5" bottom="0.6" header="0.5" footer="0.5"/>
  <pageSetup orientation="portrait" paperSize="9" fitToHeight="0" fitToWidth="1"/>
  <headerFooter>
    <oddHeader/>
    <oddFooter>&amp;C&amp;"Arial"&amp;8 Данные актуальны на 24 сентября 2026 года. Материал подготовлен сервисом КЭДО Добыто.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workbookViewId="0">
      <selection activeCell="A1" sqref="A1"/>
    </sheetView>
  </sheetViews>
  <sheetFormatPr baseColWidth="8" defaultRowHeight="15"/>
  <cols>
    <col width="64" customWidth="1" min="1" max="1"/>
    <col width="20" customWidth="1" min="2" max="2"/>
    <col width="60" customWidth="1" min="3" max="3"/>
  </cols>
  <sheetData>
    <row r="1">
      <c r="A1" s="1" t="inlineStr">
        <is>
          <t>Ставки и границы расчёта на 2026 год</t>
        </is>
      </c>
    </row>
    <row r="2">
      <c r="A2" s="6" t="inlineStr">
        <is>
          <t>Значения используются формулами листа "Расчёт". Менять их нужно только при изменении норматива.</t>
        </is>
      </c>
    </row>
    <row r="4" ht="26" customHeight="1">
      <c r="A4" s="24" t="inlineStr">
        <is>
          <t>Расчётный период для пособия в 2026 году</t>
        </is>
      </c>
      <c r="B4" s="20" t="inlineStr">
        <is>
          <t>2024 и 2025 годы</t>
        </is>
      </c>
    </row>
    <row r="5" ht="26" customHeight="1">
      <c r="A5" s="24" t="inlineStr">
        <is>
          <t>Предельная база по взносам за 2024 год, руб.</t>
        </is>
      </c>
      <c r="B5" s="14" t="n">
        <v>2225000</v>
      </c>
      <c r="C5" s="10" t="inlineStr">
        <is>
          <t>Верхняя граница заработка, принимаемого к расчёту за год</t>
        </is>
      </c>
    </row>
    <row r="6" ht="26" customHeight="1">
      <c r="A6" s="24" t="inlineStr">
        <is>
          <t>Предельная база по взносам за 2025 год, руб.</t>
        </is>
      </c>
      <c r="B6" s="14" t="n">
        <v>2759000</v>
      </c>
      <c r="C6" s="10" t="inlineStr">
        <is>
          <t>Верхняя граница заработка, принимаемого к расчёту за год</t>
        </is>
      </c>
    </row>
    <row r="7" ht="26" customHeight="1">
      <c r="A7" s="24" t="inlineStr">
        <is>
          <t>Делитель расчётного периода, дней</t>
        </is>
      </c>
      <c r="B7" s="16" t="n">
        <v>730</v>
      </c>
      <c r="C7" s="10" t="inlineStr">
        <is>
          <t>Заработок за два года делится на 730</t>
        </is>
      </c>
    </row>
    <row r="8" ht="26" customHeight="1">
      <c r="A8" s="24" t="inlineStr">
        <is>
          <t>Максимальный средний дневной заработок, руб.</t>
        </is>
      </c>
      <c r="B8" s="14" t="n">
        <v>6827.4</v>
      </c>
      <c r="C8" s="10" t="inlineStr">
        <is>
          <t>(2 225 000 + 2 759 000) / 730</t>
        </is>
      </c>
    </row>
    <row r="9" ht="26" customHeight="1">
      <c r="A9" s="24" t="inlineStr">
        <is>
          <t>Минимальный средний дневной заработок от МРОТ, руб.</t>
        </is>
      </c>
      <c r="B9" s="14" t="n">
        <v>890.73</v>
      </c>
      <c r="C9" s="10" t="inlineStr">
        <is>
          <t>27 093 x 24 / 730</t>
        </is>
      </c>
    </row>
    <row r="10" ht="26" customHeight="1">
      <c r="A10" s="24" t="inlineStr">
        <is>
          <t>МРОТ с 1 января 2026 года, руб. в месяц</t>
        </is>
      </c>
      <c r="B10" s="14" t="n">
        <v>27093</v>
      </c>
      <c r="C10" s="10" t="inlineStr">
        <is>
          <t>На 20,7 процента выше уровня 2025 года</t>
        </is>
      </c>
    </row>
    <row r="11" ht="26" customHeight="1">
      <c r="A11" s="24" t="inlineStr">
        <is>
          <t>МРОТ в Москве на 2026 год, руб. в месяц</t>
        </is>
      </c>
      <c r="B11" s="14" t="n">
        <v>32916</v>
      </c>
      <c r="C11" s="10" t="inlineStr">
        <is>
          <t>Региональный МРОТ не может быть ниже федерального</t>
        </is>
      </c>
    </row>
    <row r="12" ht="26" customHeight="1">
      <c r="A12" s="24" t="inlineStr">
        <is>
          <t>Максимальная ежемесячная страховая выплата по 125-ФЗ с 1 февраля 2026 года, руб.</t>
        </is>
      </c>
      <c r="B12" s="14" t="n">
        <v>125789.16</v>
      </c>
      <c r="C12" s="10" t="inlineStr">
        <is>
          <t>Применяется к случаям на производстве, а не к общему порядку</t>
        </is>
      </c>
    </row>
    <row r="13" ht="26" customHeight="1">
      <c r="A13" s="24" t="inlineStr">
        <is>
          <t>Предел пособия по 125-ФЗ за полный календарный месяц, руб.</t>
        </is>
      </c>
      <c r="B13" s="14" t="n">
        <v>503156.64</v>
      </c>
      <c r="C13" s="10" t="inlineStr">
        <is>
          <t>Четырёхкратный максимальный размер ежемесячной страховой выплаты</t>
        </is>
      </c>
    </row>
    <row r="14" ht="26" customHeight="1">
      <c r="A14" s="24" t="inlineStr">
        <is>
          <t>Максимум расходов работодателя за 3 дня, руб.</t>
        </is>
      </c>
      <c r="B14" s="14" t="n">
        <v>20482.2</v>
      </c>
      <c r="C14" s="10" t="inlineStr">
        <is>
          <t>6 827,40 x 3, при стаже от 8 лет</t>
        </is>
      </c>
    </row>
    <row r="15" ht="26" customHeight="1">
      <c r="A15" s="24" t="inlineStr">
        <is>
          <t>Минимум за 3 дня при полном стаже, руб.</t>
        </is>
      </c>
      <c r="B15" s="14" t="n">
        <v>2672.19</v>
      </c>
      <c r="C15" s="10" t="inlineStr">
        <is>
          <t>890,73 x 3</t>
        </is>
      </c>
    </row>
    <row r="16" ht="26" customHeight="1">
      <c r="A16" s="24" t="inlineStr">
        <is>
          <t>Процент при страховом стаже от 8 лет</t>
        </is>
      </c>
      <c r="B16" s="15" t="n">
        <v>1</v>
      </c>
    </row>
    <row r="17" ht="26" customHeight="1">
      <c r="A17" s="24" t="inlineStr">
        <is>
          <t>Процент при страховом стаже от 5 до 8 лет</t>
        </is>
      </c>
      <c r="B17" s="15" t="n">
        <v>0.8</v>
      </c>
    </row>
    <row r="18" ht="26" customHeight="1">
      <c r="A18" s="24" t="inlineStr">
        <is>
          <t>Процент при страховом стаже до 5 лет</t>
        </is>
      </c>
      <c r="B18" s="15" t="n">
        <v>0.6</v>
      </c>
    </row>
    <row r="20">
      <c r="A20" s="6" t="inlineStr">
        <is>
          <t>Данные актуальны на 24 сентября 2026 года. Материал подготовлен сервисом КЭДО Добыто.</t>
        </is>
      </c>
    </row>
    <row r="21" ht="30" customHeight="1">
      <c r="A21" s="7" t="inlineStr">
        <is>
          <t>Максимальный и минимальный средний дневной заработок внесены округлёнными так, как они приведены в расчёте: 6 827,40 и 890,73 рубля. Формулы их получения указаны в колонке справа.</t>
        </is>
      </c>
    </row>
  </sheetData>
  <mergeCells count="2">
    <mergeCell ref="A21:C21"/>
    <mergeCell ref="A2:C2"/>
  </mergeCells>
  <pageMargins left="0.4" right="0.4" top="0.5" bottom="0.6" header="0.5" footer="0.5"/>
  <pageSetup orientation="portrait" paperSize="9" fitToHeight="0" fitToWidth="1"/>
  <headerFooter>
    <oddHeader/>
    <oddFooter>&amp;C&amp;"Arial"&amp;8 Данные актуальны на 24 сентября 2026 года. Материал подготовлен сервисом КЭДО Добыто.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2026-09-24T11:59:53Z</dcterms:created>
  <dcterms:modified xmlns:dcterms="http://purl.org/dc/terms/" xmlns:xsi="http://www.w3.org/2001/XMLSchema-instance" xsi:type="dcterms:W3CDTF">2026-09-24T11:59:53Z</dcterms:modified>
</cp:coreProperties>
</file>